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2.xml" ContentType="application/vnd.openxmlformats-officedocument.drawing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ckElizabet_onfyyex\Box\MCM Projects\City of Sitka\25-106 TO5 Green Lake Hydroelectric Project\5.0 Reports\5.4 Initial Study Report (ISR)\ISR - Submitted\"/>
    </mc:Choice>
  </mc:AlternateContent>
  <xr:revisionPtr revIDLastSave="0" documentId="8_{7D9101D2-AA53-4DC4-AB28-F41FE001FADF}" xr6:coauthVersionLast="47" xr6:coauthVersionMax="47" xr10:uidLastSave="{00000000-0000-0000-0000-000000000000}"/>
  <bookViews>
    <workbookView xWindow="-120" yWindow="-120" windowWidth="29040" windowHeight="15720" tabRatio="848" xr2:uid="{0685EF4F-4F89-4447-A2D9-C572E8481B7D}"/>
  </bookViews>
  <sheets>
    <sheet name="G31-A" sheetId="28" r:id="rId1"/>
    <sheet name="G61-B" sheetId="3" r:id="rId2"/>
    <sheet name="G63-B" sheetId="6" r:id="rId3"/>
    <sheet name="G64-A" sheetId="7" r:id="rId4"/>
    <sheet name="G66-A" sheetId="27" r:id="rId5"/>
    <sheet name="G72-A" sheetId="14" r:id="rId6"/>
    <sheet name="G73-A" sheetId="15" r:id="rId7"/>
    <sheet name="G78-A" sheetId="29" r:id="rId8"/>
    <sheet name="G101-C" sheetId="17" r:id="rId9"/>
    <sheet name="G123-A" sheetId="18" r:id="rId10"/>
    <sheet name="G129-A" sheetId="19" r:id="rId11"/>
    <sheet name="G138-B" sheetId="2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9" l="1"/>
  <c r="Q5" i="19"/>
  <c r="P6" i="19"/>
  <c r="P5" i="19"/>
  <c r="P4" i="19"/>
  <c r="Q4" i="19"/>
  <c r="Q3" i="19"/>
  <c r="Q3" i="18"/>
  <c r="Q4" i="18"/>
  <c r="Q6" i="18"/>
  <c r="P6" i="18"/>
  <c r="P5" i="18"/>
  <c r="Q5" i="18"/>
  <c r="P4" i="18"/>
  <c r="P4" i="14"/>
  <c r="P5" i="14"/>
  <c r="P6" i="14" s="1"/>
  <c r="P4" i="6"/>
  <c r="P5" i="6"/>
  <c r="P6" i="6"/>
  <c r="Q6" i="17"/>
  <c r="P6" i="17"/>
  <c r="Q5" i="17"/>
  <c r="P5" i="17"/>
  <c r="Q4" i="17"/>
  <c r="P4" i="17"/>
  <c r="Q2" i="17"/>
  <c r="Q3" i="17"/>
  <c r="Q5" i="29"/>
  <c r="P5" i="29"/>
  <c r="P4" i="29"/>
  <c r="Q4" i="29"/>
  <c r="Q3" i="29"/>
  <c r="P4" i="15"/>
  <c r="P5" i="15" s="1"/>
  <c r="P6" i="15" s="1"/>
  <c r="Q6" i="14"/>
  <c r="Q5" i="14"/>
  <c r="Q4" i="14"/>
  <c r="Q3" i="14"/>
  <c r="P6" i="27"/>
  <c r="Q6" i="27"/>
  <c r="Q5" i="27"/>
  <c r="P5" i="27"/>
  <c r="P4" i="27"/>
  <c r="Q4" i="27"/>
  <c r="Q3" i="27"/>
  <c r="P4" i="7"/>
  <c r="P5" i="7" s="1"/>
  <c r="P6" i="7" s="1"/>
  <c r="Q6" i="6"/>
  <c r="Q5" i="6"/>
  <c r="Q4" i="6"/>
  <c r="Q3" i="6"/>
  <c r="P6" i="3"/>
  <c r="P7" i="28"/>
  <c r="P6" i="28"/>
  <c r="P5" i="28"/>
  <c r="C3" i="29"/>
  <c r="M5" i="29" s="1"/>
  <c r="P6" i="20"/>
  <c r="P7" i="20" s="1"/>
  <c r="P8" i="20" s="1"/>
  <c r="C4" i="28"/>
  <c r="M4" i="28" s="1"/>
  <c r="H8" i="28" l="1"/>
  <c r="C9" i="28"/>
  <c r="C8" i="28"/>
  <c r="Q6" i="28" s="1"/>
  <c r="M8" i="28"/>
  <c r="M7" i="28"/>
  <c r="Q4" i="28" s="1"/>
  <c r="C7" i="28"/>
  <c r="C6" i="28"/>
  <c r="M9" i="28"/>
  <c r="M3" i="29"/>
  <c r="M4" i="29"/>
  <c r="C4" i="29"/>
  <c r="C7" i="29"/>
  <c r="C8" i="29"/>
  <c r="M7" i="29"/>
  <c r="M6" i="29"/>
  <c r="C6" i="29"/>
  <c r="C5" i="29"/>
  <c r="M5" i="28"/>
  <c r="C10" i="28"/>
  <c r="C5" i="28"/>
  <c r="H5" i="28"/>
  <c r="H6" i="28"/>
  <c r="Q7" i="28" s="1"/>
  <c r="M6" i="28"/>
  <c r="H7" i="28"/>
  <c r="H4" i="28"/>
  <c r="B13" i="28" l="1"/>
  <c r="Q5" i="28"/>
  <c r="B12" i="29"/>
  <c r="Q6" i="3" l="1"/>
  <c r="Q5" i="3"/>
  <c r="P5" i="3"/>
  <c r="P4" i="3"/>
  <c r="Q3" i="3"/>
  <c r="C3" i="14"/>
  <c r="H3" i="14" s="1"/>
  <c r="C3" i="6"/>
  <c r="H3" i="6" s="1"/>
  <c r="C3" i="27"/>
  <c r="H3" i="27"/>
  <c r="M3" i="27"/>
  <c r="C4" i="27"/>
  <c r="C8" i="27"/>
  <c r="M8" i="27"/>
  <c r="M9" i="27"/>
  <c r="M7" i="27" l="1"/>
  <c r="H7" i="27"/>
  <c r="C7" i="27"/>
  <c r="M6" i="27"/>
  <c r="M5" i="27"/>
  <c r="H5" i="27"/>
  <c r="H4" i="27"/>
  <c r="H6" i="27"/>
  <c r="C6" i="27"/>
  <c r="C5" i="27"/>
  <c r="M4" i="27"/>
  <c r="C3" i="20"/>
  <c r="C5" i="20" s="1"/>
  <c r="C3" i="19"/>
  <c r="C4" i="19"/>
  <c r="H4" i="19"/>
  <c r="M4" i="19"/>
  <c r="C5" i="19"/>
  <c r="H5" i="19"/>
  <c r="M5" i="19"/>
  <c r="C3" i="18"/>
  <c r="C5" i="18" s="1"/>
  <c r="C3" i="17"/>
  <c r="M3" i="17"/>
  <c r="C3" i="15"/>
  <c r="H7" i="15" s="1"/>
  <c r="C4" i="15"/>
  <c r="H4" i="15"/>
  <c r="M4" i="15"/>
  <c r="C5" i="15"/>
  <c r="Q4" i="15" s="1"/>
  <c r="M3" i="14"/>
  <c r="C4" i="14"/>
  <c r="H4" i="14"/>
  <c r="M4" i="14"/>
  <c r="C5" i="14"/>
  <c r="H5" i="14"/>
  <c r="M5" i="14"/>
  <c r="C6" i="14"/>
  <c r="H6" i="14"/>
  <c r="M6" i="14"/>
  <c r="C7" i="14"/>
  <c r="H7" i="14"/>
  <c r="M7" i="14"/>
  <c r="C3" i="7"/>
  <c r="C4" i="7"/>
  <c r="C5" i="7"/>
  <c r="Q4" i="7" s="1"/>
  <c r="H5" i="7"/>
  <c r="M3" i="6"/>
  <c r="C4" i="6"/>
  <c r="H4" i="6"/>
  <c r="M4" i="6"/>
  <c r="C5" i="6"/>
  <c r="H5" i="6"/>
  <c r="M5" i="6"/>
  <c r="C6" i="6"/>
  <c r="H6" i="6"/>
  <c r="C7" i="6"/>
  <c r="H7" i="6"/>
  <c r="C8" i="6"/>
  <c r="C3" i="3"/>
  <c r="M5" i="3" s="1"/>
  <c r="H3" i="7" l="1"/>
  <c r="M4" i="7"/>
  <c r="Q3" i="7" s="1"/>
  <c r="M5" i="7"/>
  <c r="M3" i="7"/>
  <c r="M7" i="15"/>
  <c r="C7" i="15"/>
  <c r="Q5" i="15" s="1"/>
  <c r="M6" i="15"/>
  <c r="H6" i="15"/>
  <c r="M5" i="15"/>
  <c r="Q3" i="15" s="1"/>
  <c r="H5" i="15"/>
  <c r="Q6" i="15" s="1"/>
  <c r="M7" i="18"/>
  <c r="H4" i="18"/>
  <c r="C4" i="18"/>
  <c r="M4" i="18"/>
  <c r="H3" i="18"/>
  <c r="C8" i="19"/>
  <c r="M7" i="19"/>
  <c r="M3" i="19"/>
  <c r="H7" i="19"/>
  <c r="H3" i="19"/>
  <c r="C7" i="19"/>
  <c r="M6" i="19"/>
  <c r="H6" i="19"/>
  <c r="H7" i="18"/>
  <c r="C7" i="18"/>
  <c r="H5" i="18"/>
  <c r="M6" i="18"/>
  <c r="H6" i="18"/>
  <c r="M5" i="18"/>
  <c r="M7" i="17"/>
  <c r="H7" i="17"/>
  <c r="C7" i="17"/>
  <c r="M6" i="17"/>
  <c r="M5" i="17"/>
  <c r="H5" i="17"/>
  <c r="C5" i="17"/>
  <c r="M4" i="17"/>
  <c r="H4" i="17"/>
  <c r="C4" i="17"/>
  <c r="B12" i="14"/>
  <c r="B12" i="27"/>
  <c r="Q5" i="20"/>
  <c r="Q4" i="20"/>
  <c r="Q3" i="20"/>
  <c r="C7" i="20"/>
  <c r="Q6" i="20" s="1"/>
  <c r="C6" i="20"/>
  <c r="H4" i="7"/>
  <c r="Q6" i="7" s="1"/>
  <c r="B12" i="6"/>
  <c r="H3" i="3"/>
  <c r="C5" i="3"/>
  <c r="Q4" i="3" s="1"/>
  <c r="M4" i="3"/>
  <c r="H4" i="3"/>
  <c r="C4" i="3"/>
  <c r="M3" i="3"/>
  <c r="C8" i="3"/>
  <c r="M7" i="3"/>
  <c r="H7" i="3"/>
  <c r="M6" i="3"/>
  <c r="H5" i="3"/>
  <c r="C7" i="3"/>
  <c r="H6" i="3"/>
  <c r="C6" i="3"/>
  <c r="C4" i="20"/>
  <c r="C6" i="19"/>
  <c r="M3" i="18"/>
  <c r="C6" i="18"/>
  <c r="H3" i="17"/>
  <c r="H6" i="17"/>
  <c r="C6" i="17"/>
  <c r="M3" i="15"/>
  <c r="H3" i="15"/>
  <c r="C6" i="15"/>
  <c r="C7" i="7"/>
  <c r="Q5" i="7" s="1"/>
  <c r="C6" i="7"/>
  <c r="B10" i="15" l="1"/>
  <c r="B10" i="18"/>
  <c r="B12" i="19"/>
  <c r="B10" i="17"/>
  <c r="Q8" i="20"/>
  <c r="Q7" i="20"/>
  <c r="B10" i="20"/>
  <c r="B10" i="7"/>
  <c r="B12" i="3"/>
</calcChain>
</file>

<file path=xl/sharedStrings.xml><?xml version="1.0" encoding="utf-8"?>
<sst xmlns="http://schemas.openxmlformats.org/spreadsheetml/2006/main" count="423" uniqueCount="46">
  <si>
    <t>Culvert slope:</t>
  </si>
  <si>
    <t>Culvert length:</t>
  </si>
  <si>
    <t>Long Pro</t>
  </si>
  <si>
    <t>R BKF</t>
  </si>
  <si>
    <t>REOW</t>
  </si>
  <si>
    <t>TW</t>
  </si>
  <si>
    <t>L WSE</t>
  </si>
  <si>
    <t>LBKF</t>
  </si>
  <si>
    <t>Upstream Cross Section</t>
  </si>
  <si>
    <t>RWSE</t>
  </si>
  <si>
    <t>L Bkf</t>
  </si>
  <si>
    <t>Tail Crest Cross Section</t>
  </si>
  <si>
    <t>Pool tail crest</t>
  </si>
  <si>
    <t>Pool TW</t>
  </si>
  <si>
    <t>Outlet invert</t>
  </si>
  <si>
    <t>TOC Outlet</t>
  </si>
  <si>
    <t>Inlet Invert</t>
  </si>
  <si>
    <t>TOC Inlet</t>
  </si>
  <si>
    <t>Height of the Instrument (HI)</t>
  </si>
  <si>
    <t>Crown of the road</t>
  </si>
  <si>
    <t>Notes</t>
  </si>
  <si>
    <t>Elevation</t>
  </si>
  <si>
    <t>Survey Reading</t>
  </si>
  <si>
    <t>Station</t>
  </si>
  <si>
    <t>RBkf</t>
  </si>
  <si>
    <t>LEOW</t>
  </si>
  <si>
    <t>L EOW</t>
  </si>
  <si>
    <t>RBKF</t>
  </si>
  <si>
    <t>RBOB</t>
  </si>
  <si>
    <t>TAIL CREST</t>
  </si>
  <si>
    <t xml:space="preserve"> </t>
  </si>
  <si>
    <t>R BoB</t>
  </si>
  <si>
    <t>Tailcrest</t>
  </si>
  <si>
    <t>L BoB</t>
  </si>
  <si>
    <t>Elevation (ft, local datum)</t>
  </si>
  <si>
    <t>Top of culvert (Outlet)</t>
  </si>
  <si>
    <t>Top of culvert (Inlet)</t>
  </si>
  <si>
    <t>Distance from outlet:</t>
  </si>
  <si>
    <t>Distance from inlet:</t>
  </si>
  <si>
    <t>Station (ft)</t>
  </si>
  <si>
    <t>Rbkf</t>
  </si>
  <si>
    <t>Lbkf</t>
  </si>
  <si>
    <t>Leow</t>
  </si>
  <si>
    <t>Culvert too steep to survey</t>
  </si>
  <si>
    <t>Outlet too steep to survey</t>
  </si>
  <si>
    <t>APPENDIX B. STREAM-ASSOCIATED CULVERT SURVEY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</si>
</sst>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7" xfId="0" applyNumberFormat="1" applyBorder="1"/>
    <xf numFmtId="165" fontId="0" fillId="0" borderId="10" xfId="0" applyNumberFormat="1" applyBorder="1"/>
    <xf numFmtId="165" fontId="0" fillId="2" borderId="10" xfId="0" applyNumberFormat="1" applyFill="1" applyBorder="1"/>
    <xf numFmtId="165" fontId="0" fillId="2" borderId="1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8" xfId="0" applyNumberFormat="1" applyBorder="1"/>
    <xf numFmtId="165" fontId="0" fillId="2" borderId="9" xfId="0" applyNumberFormat="1" applyFill="1" applyBorder="1"/>
    <xf numFmtId="165" fontId="0" fillId="2" borderId="8" xfId="0" applyNumberFormat="1" applyFill="1" applyBorder="1"/>
    <xf numFmtId="165" fontId="0" fillId="2" borderId="6" xfId="0" applyNumberFormat="1" applyFill="1" applyBorder="1"/>
    <xf numFmtId="165" fontId="0" fillId="2" borderId="5" xfId="0" applyNumberFormat="1" applyFill="1" applyBorder="1"/>
    <xf numFmtId="166" fontId="0" fillId="0" borderId="0" xfId="0" applyNumberFormat="1"/>
    <xf numFmtId="165" fontId="1" fillId="0" borderId="13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165" fontId="2" fillId="0" borderId="11" xfId="0" applyNumberFormat="1" applyFont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2" xfId="0" applyNumberFormat="1" applyBorder="1"/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360"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0.0"/>
      <fill>
        <patternFill patternType="none">
          <fgColor theme="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solid">
          <fgColor theme="4" tint="0.79998168889431442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border outline="0">
        <top style="thin">
          <color rgb="FF000000"/>
        </top>
      </border>
    </dxf>
    <dxf>
      <numFmt numFmtId="165" formatCode="0.0"/>
    </dxf>
    <dxf>
      <border outline="0"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rgb="FF000000"/>
        </top>
        <bottom style="thin">
          <color rgb="FF9BC2E6"/>
        </bottom>
      </border>
    </dxf>
    <dxf>
      <numFmt numFmtId="165" formatCode="0.0"/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numFmt numFmtId="165" formatCode="0.0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numFmt numFmtId="165" formatCode="0.0"/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'G31-A'!$F$4:$F$8</c:f>
              <c:numCache>
                <c:formatCode>0.0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17</c:v>
                </c:pt>
                <c:pt idx="3">
                  <c:v>22</c:v>
                </c:pt>
                <c:pt idx="4">
                  <c:v>30</c:v>
                </c:pt>
              </c:numCache>
            </c:numRef>
          </c:xVal>
          <c:yVal>
            <c:numRef>
              <c:f>'G31-A'!$H$4:$H$8</c:f>
              <c:numCache>
                <c:formatCode>0.0</c:formatCode>
                <c:ptCount val="5"/>
                <c:pt idx="0">
                  <c:v>91.149999999999991</c:v>
                </c:pt>
                <c:pt idx="1">
                  <c:v>89.66</c:v>
                </c:pt>
                <c:pt idx="2">
                  <c:v>89.13</c:v>
                </c:pt>
                <c:pt idx="3">
                  <c:v>89.75</c:v>
                </c:pt>
                <c:pt idx="4">
                  <c:v>90.71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B4-4279-A500-F9460E066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'G64-A'!$F$3:$F$5</c:f>
              <c:numCache>
                <c:formatCode>0.0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xVal>
          <c:yVal>
            <c:numRef>
              <c:f>'G64-A'!$H$3:$H$5</c:f>
              <c:numCache>
                <c:formatCode>0.0</c:formatCode>
                <c:ptCount val="3"/>
                <c:pt idx="0">
                  <c:v>89.87</c:v>
                </c:pt>
                <c:pt idx="1">
                  <c:v>89.460000000000008</c:v>
                </c:pt>
                <c:pt idx="2">
                  <c:v>90.31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3-4DE9-B377-9CE4CE2F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'G64-A'!$K$3:$K$5</c:f>
              <c:numCache>
                <c:formatCode>0.0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xVal>
          <c:yVal>
            <c:numRef>
              <c:f>'G64-A'!$M$3:$M$5</c:f>
              <c:numCache>
                <c:formatCode>0.0</c:formatCode>
                <c:ptCount val="3"/>
                <c:pt idx="0">
                  <c:v>92.89</c:v>
                </c:pt>
                <c:pt idx="1">
                  <c:v>91.41</c:v>
                </c:pt>
                <c:pt idx="2">
                  <c:v>93.240000000000009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26-42A2-8803-7C155E0F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'G64-A'!$P$3:$P$6</c:f>
              <c:numCache>
                <c:formatCode>0.0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32</c:v>
                </c:pt>
                <c:pt idx="3">
                  <c:v>38</c:v>
                </c:pt>
              </c:numCache>
            </c:numRef>
          </c:xVal>
          <c:yVal>
            <c:numRef>
              <c:f>'G64-A'!$Q$3:$Q$6</c:f>
              <c:numCache>
                <c:formatCode>0.0</c:formatCode>
                <c:ptCount val="4"/>
                <c:pt idx="0">
                  <c:v>91.41</c:v>
                </c:pt>
                <c:pt idx="1">
                  <c:v>91.29</c:v>
                </c:pt>
                <c:pt idx="2">
                  <c:v>90.12</c:v>
                </c:pt>
                <c:pt idx="3">
                  <c:v>89.460000000000008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84-4D94-B0E4-1B7319D0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'G66-A'!$F$3:$F$7</c:f>
              <c:numCache>
                <c:formatCode>0.0</c:formatCode>
                <c:ptCount val="5"/>
                <c:pt idx="0">
                  <c:v>3</c:v>
                </c:pt>
                <c:pt idx="1">
                  <c:v>9</c:v>
                </c:pt>
                <c:pt idx="2">
                  <c:v>22</c:v>
                </c:pt>
                <c:pt idx="3">
                  <c:v>36</c:v>
                </c:pt>
                <c:pt idx="4">
                  <c:v>40</c:v>
                </c:pt>
              </c:numCache>
            </c:numRef>
          </c:xVal>
          <c:yVal>
            <c:numRef>
              <c:f>'G66-A'!$H$3:$H$7</c:f>
              <c:numCache>
                <c:formatCode>0.0</c:formatCode>
                <c:ptCount val="5"/>
                <c:pt idx="0">
                  <c:v>89.05</c:v>
                </c:pt>
                <c:pt idx="1">
                  <c:v>86.55</c:v>
                </c:pt>
                <c:pt idx="2">
                  <c:v>86.15</c:v>
                </c:pt>
                <c:pt idx="3">
                  <c:v>86.3</c:v>
                </c:pt>
                <c:pt idx="4">
                  <c:v>87.82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44-433B-995D-2166E0C9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'G66-A'!$K$3:$K$9</c:f>
              <c:numCache>
                <c:formatCode>0.0</c:formatCode>
                <c:ptCount val="7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13</c:v>
                </c:pt>
                <c:pt idx="4">
                  <c:v>20</c:v>
                </c:pt>
                <c:pt idx="5">
                  <c:v>23</c:v>
                </c:pt>
                <c:pt idx="6">
                  <c:v>26</c:v>
                </c:pt>
              </c:numCache>
            </c:numRef>
          </c:xVal>
          <c:yVal>
            <c:numRef>
              <c:f>'G66-A'!$M$3:$M$9</c:f>
              <c:numCache>
                <c:formatCode>0.0</c:formatCode>
                <c:ptCount val="7"/>
                <c:pt idx="0">
                  <c:v>100.09</c:v>
                </c:pt>
                <c:pt idx="1">
                  <c:v>96.73</c:v>
                </c:pt>
                <c:pt idx="2">
                  <c:v>95.53</c:v>
                </c:pt>
                <c:pt idx="3">
                  <c:v>95.92</c:v>
                </c:pt>
                <c:pt idx="4">
                  <c:v>96.35</c:v>
                </c:pt>
                <c:pt idx="5">
                  <c:v>97</c:v>
                </c:pt>
                <c:pt idx="6">
                  <c:v>99.96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21-4E76-8DF1-CE1571D6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'G66-A'!$P$3:$P$6</c:f>
              <c:numCache>
                <c:formatCode>0.0</c:formatCode>
                <c:ptCount val="4"/>
                <c:pt idx="0">
                  <c:v>0</c:v>
                </c:pt>
                <c:pt idx="1">
                  <c:v>31</c:v>
                </c:pt>
                <c:pt idx="2">
                  <c:v>63</c:v>
                </c:pt>
                <c:pt idx="3">
                  <c:v>83</c:v>
                </c:pt>
              </c:numCache>
            </c:numRef>
          </c:xVal>
          <c:yVal>
            <c:numRef>
              <c:f>'G66-A'!$Q$3:$Q$6</c:f>
              <c:numCache>
                <c:formatCode>0.0</c:formatCode>
                <c:ptCount val="4"/>
                <c:pt idx="0">
                  <c:v>95.92</c:v>
                </c:pt>
                <c:pt idx="1">
                  <c:v>94.25</c:v>
                </c:pt>
                <c:pt idx="2">
                  <c:v>90.65</c:v>
                </c:pt>
                <c:pt idx="3">
                  <c:v>86.15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29-4718-A825-50A8C704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'G72-A'!$F$3:$F$7</c:f>
              <c:numCache>
                <c:formatCode>0.0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</c:numCache>
            </c:numRef>
          </c:xVal>
          <c:yVal>
            <c:numRef>
              <c:f>'G72-A'!$H$3:$H$7</c:f>
              <c:numCache>
                <c:formatCode>0.0</c:formatCode>
                <c:ptCount val="5"/>
                <c:pt idx="0">
                  <c:v>90.14</c:v>
                </c:pt>
                <c:pt idx="1">
                  <c:v>89.2</c:v>
                </c:pt>
                <c:pt idx="2">
                  <c:v>89.03</c:v>
                </c:pt>
                <c:pt idx="3">
                  <c:v>88.95</c:v>
                </c:pt>
                <c:pt idx="4">
                  <c:v>89.97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D6-4E59-912B-778592046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layout>
        <c:manualLayout>
          <c:xMode val="edge"/>
          <c:yMode val="edge"/>
          <c:x val="0.30006233595800519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'G72-A'!$K$3:$K$7</c:f>
              <c:numCache>
                <c:formatCode>0.0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'G72-A'!$M$3:$M$7</c:f>
              <c:numCache>
                <c:formatCode>0.0</c:formatCode>
                <c:ptCount val="5"/>
                <c:pt idx="0">
                  <c:v>96.67</c:v>
                </c:pt>
                <c:pt idx="1">
                  <c:v>95.34</c:v>
                </c:pt>
                <c:pt idx="2">
                  <c:v>94.98</c:v>
                </c:pt>
                <c:pt idx="3">
                  <c:v>95.6</c:v>
                </c:pt>
                <c:pt idx="4">
                  <c:v>96.05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D9-4C07-9171-73435C86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'G72-A'!$P$3:$P$6</c:f>
              <c:numCache>
                <c:formatCode>0.0</c:formatCode>
                <c:ptCount val="4"/>
                <c:pt idx="0">
                  <c:v>0</c:v>
                </c:pt>
                <c:pt idx="1">
                  <c:v>23</c:v>
                </c:pt>
                <c:pt idx="2">
                  <c:v>55</c:v>
                </c:pt>
                <c:pt idx="3">
                  <c:v>74</c:v>
                </c:pt>
              </c:numCache>
            </c:numRef>
          </c:xVal>
          <c:yVal>
            <c:numRef>
              <c:f>'G72-A'!$Q$3:$Q$6</c:f>
              <c:numCache>
                <c:formatCode>0.0</c:formatCode>
                <c:ptCount val="4"/>
                <c:pt idx="0">
                  <c:v>94.98</c:v>
                </c:pt>
                <c:pt idx="1">
                  <c:v>92.5</c:v>
                </c:pt>
                <c:pt idx="2">
                  <c:v>90.38</c:v>
                </c:pt>
                <c:pt idx="3">
                  <c:v>89.03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6-48B1-8CE2-FDE5D2C8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'G73-A'!$F$3:$F$7</c:f>
              <c:numCache>
                <c:formatCode>0.0</c:formatCode>
                <c:ptCount val="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</c:numCache>
            </c:numRef>
          </c:xVal>
          <c:yVal>
            <c:numRef>
              <c:f>'G73-A'!$H$3:$H$7</c:f>
              <c:numCache>
                <c:formatCode>0.0</c:formatCode>
                <c:ptCount val="5"/>
                <c:pt idx="0">
                  <c:v>92.5</c:v>
                </c:pt>
                <c:pt idx="1">
                  <c:v>90.78</c:v>
                </c:pt>
                <c:pt idx="2">
                  <c:v>90.31</c:v>
                </c:pt>
                <c:pt idx="3">
                  <c:v>90.78</c:v>
                </c:pt>
                <c:pt idx="4">
                  <c:v>93.25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0A-4FAA-A6D3-173595838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'G31-A'!$K$4:$K$9</c:f>
              <c:numCache>
                <c:formatCode>0.0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17</c:v>
                </c:pt>
                <c:pt idx="4">
                  <c:v>22</c:v>
                </c:pt>
                <c:pt idx="5">
                  <c:v>24</c:v>
                </c:pt>
              </c:numCache>
            </c:numRef>
          </c:xVal>
          <c:yVal>
            <c:numRef>
              <c:f>'G31-A'!$M$4:$M$9</c:f>
              <c:numCache>
                <c:formatCode>0.0</c:formatCode>
                <c:ptCount val="6"/>
                <c:pt idx="0">
                  <c:v>97.44</c:v>
                </c:pt>
                <c:pt idx="1">
                  <c:v>93.11999999999999</c:v>
                </c:pt>
                <c:pt idx="2">
                  <c:v>92.41</c:v>
                </c:pt>
                <c:pt idx="3">
                  <c:v>91.759999999999991</c:v>
                </c:pt>
                <c:pt idx="4">
                  <c:v>92.21</c:v>
                </c:pt>
                <c:pt idx="5">
                  <c:v>94.08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DD-4BFC-AA4A-6CEB601F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'G73-A'!$K$3:$K$7</c:f>
              <c:numCache>
                <c:formatCode>0.0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12</c:v>
                </c:pt>
                <c:pt idx="4">
                  <c:v>14</c:v>
                </c:pt>
              </c:numCache>
            </c:numRef>
          </c:xVal>
          <c:yVal>
            <c:numRef>
              <c:f>'G73-A'!$M$3:$M$7</c:f>
              <c:numCache>
                <c:formatCode>0.0</c:formatCode>
                <c:ptCount val="5"/>
                <c:pt idx="0">
                  <c:v>99.13</c:v>
                </c:pt>
                <c:pt idx="1">
                  <c:v>96.539999999999992</c:v>
                </c:pt>
                <c:pt idx="2">
                  <c:v>96.5</c:v>
                </c:pt>
                <c:pt idx="3">
                  <c:v>97.509999999999991</c:v>
                </c:pt>
                <c:pt idx="4">
                  <c:v>99.5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12-48B2-A631-7D5F0B477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'G73-A'!$P$3:$P$6</c:f>
              <c:numCache>
                <c:formatCode>0.0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40</c:v>
                </c:pt>
                <c:pt idx="3">
                  <c:v>46</c:v>
                </c:pt>
              </c:numCache>
            </c:numRef>
          </c:xVal>
          <c:yVal>
            <c:numRef>
              <c:f>'G73-A'!$Q$3:$Q$6</c:f>
              <c:numCache>
                <c:formatCode>0.0</c:formatCode>
                <c:ptCount val="4"/>
                <c:pt idx="0">
                  <c:v>96.5</c:v>
                </c:pt>
                <c:pt idx="1">
                  <c:v>94.16</c:v>
                </c:pt>
                <c:pt idx="2">
                  <c:v>91.929999999999993</c:v>
                </c:pt>
                <c:pt idx="3">
                  <c:v>90.31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2-4A24-981C-19A28F680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'G78-A'!$K$2</c:f>
              <c:strCache>
                <c:ptCount val="1"/>
                <c:pt idx="0">
                  <c:v>Upstream Cross Section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'G78-A'!$K$3:$K$7</c:f>
              <c:numCache>
                <c:formatCode>0.0</c:formatCode>
                <c:ptCount val="5"/>
                <c:pt idx="0">
                  <c:v>1</c:v>
                </c:pt>
                <c:pt idx="1">
                  <c:v>7</c:v>
                </c:pt>
                <c:pt idx="2">
                  <c:v>11</c:v>
                </c:pt>
                <c:pt idx="3">
                  <c:v>16</c:v>
                </c:pt>
                <c:pt idx="4">
                  <c:v>23</c:v>
                </c:pt>
              </c:numCache>
            </c:numRef>
          </c:xVal>
          <c:yVal>
            <c:numRef>
              <c:f>'G78-A'!$M$3:$M$7</c:f>
              <c:numCache>
                <c:formatCode>0.0</c:formatCode>
                <c:ptCount val="5"/>
                <c:pt idx="0">
                  <c:v>95.42</c:v>
                </c:pt>
                <c:pt idx="1">
                  <c:v>92.52</c:v>
                </c:pt>
                <c:pt idx="2">
                  <c:v>91.61</c:v>
                </c:pt>
                <c:pt idx="3">
                  <c:v>92.47</c:v>
                </c:pt>
                <c:pt idx="4">
                  <c:v>95.92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C6-4A09-B4CA-6D1D306FC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'G73-A'!$P$3:$P$6</c:f>
              <c:numCache>
                <c:formatCode>0.0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40</c:v>
                </c:pt>
                <c:pt idx="3">
                  <c:v>46</c:v>
                </c:pt>
              </c:numCache>
            </c:numRef>
          </c:xVal>
          <c:yVal>
            <c:numRef>
              <c:f>'G73-A'!$Q$3:$Q$6</c:f>
              <c:numCache>
                <c:formatCode>0.0</c:formatCode>
                <c:ptCount val="4"/>
                <c:pt idx="0">
                  <c:v>96.5</c:v>
                </c:pt>
                <c:pt idx="1">
                  <c:v>94.16</c:v>
                </c:pt>
                <c:pt idx="2">
                  <c:v>91.929999999999993</c:v>
                </c:pt>
                <c:pt idx="3">
                  <c:v>90.31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A5-43F4-BBC0-B7766E50E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'G101-C'!$F$3:$F$7</c:f>
              <c:numCache>
                <c:formatCode>0.0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18</c:v>
                </c:pt>
                <c:pt idx="4">
                  <c:v>22</c:v>
                </c:pt>
              </c:numCache>
            </c:numRef>
          </c:xVal>
          <c:yVal>
            <c:numRef>
              <c:f>'G101-C'!$H$3:$H$7</c:f>
              <c:numCache>
                <c:formatCode>0.0</c:formatCode>
                <c:ptCount val="5"/>
                <c:pt idx="0">
                  <c:v>87.899999999999991</c:v>
                </c:pt>
                <c:pt idx="1">
                  <c:v>87.1</c:v>
                </c:pt>
                <c:pt idx="2">
                  <c:v>87.1</c:v>
                </c:pt>
                <c:pt idx="3">
                  <c:v>86.1</c:v>
                </c:pt>
                <c:pt idx="4">
                  <c:v>87.4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88-4C0F-A0DE-E15CCF9A6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2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'G101-C'!$K$3:$K$7</c:f>
              <c:numCache>
                <c:formatCode>0.0</c:formatCode>
                <c:ptCount val="5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'G101-C'!$M$3:$M$7</c:f>
              <c:numCache>
                <c:formatCode>0.0</c:formatCode>
                <c:ptCount val="5"/>
                <c:pt idx="0">
                  <c:v>94.91</c:v>
                </c:pt>
                <c:pt idx="1">
                  <c:v>93.3</c:v>
                </c:pt>
                <c:pt idx="2">
                  <c:v>93.09</c:v>
                </c:pt>
                <c:pt idx="3">
                  <c:v>93.6</c:v>
                </c:pt>
                <c:pt idx="4">
                  <c:v>95.13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A4-42BA-8ABD-24227EA65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'G101-C'!$P$3:$P$6</c:f>
              <c:numCache>
                <c:formatCode>0.0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42</c:v>
                </c:pt>
                <c:pt idx="3">
                  <c:v>60</c:v>
                </c:pt>
              </c:numCache>
            </c:numRef>
          </c:xVal>
          <c:yVal>
            <c:numRef>
              <c:f>'G101-C'!$Q$3:$Q$6</c:f>
              <c:numCache>
                <c:formatCode>0.0</c:formatCode>
                <c:ptCount val="4"/>
                <c:pt idx="0">
                  <c:v>93.09</c:v>
                </c:pt>
                <c:pt idx="1">
                  <c:v>92.7</c:v>
                </c:pt>
                <c:pt idx="2">
                  <c:v>89.62</c:v>
                </c:pt>
                <c:pt idx="3">
                  <c:v>86.1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96-4913-9F91-9B996E2C5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'G123-A'!$F$3:$F$7</c:f>
              <c:numCache>
                <c:formatCode>0.0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'G123-A'!$H$3:$H$7</c:f>
              <c:numCache>
                <c:formatCode>0.0</c:formatCode>
                <c:ptCount val="5"/>
                <c:pt idx="0">
                  <c:v>86.1</c:v>
                </c:pt>
                <c:pt idx="1">
                  <c:v>84.75</c:v>
                </c:pt>
                <c:pt idx="2">
                  <c:v>83.96</c:v>
                </c:pt>
                <c:pt idx="3">
                  <c:v>84.699999999999989</c:v>
                </c:pt>
                <c:pt idx="4">
                  <c:v>86.6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6A-4682-9C0C-451E56AB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'G123-A'!$K$3:$K$7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</c:numCache>
            </c:numRef>
          </c:xVal>
          <c:yVal>
            <c:numRef>
              <c:f>'G123-A'!$M$3:$M$7</c:f>
              <c:numCache>
                <c:formatCode>0.0</c:formatCode>
                <c:ptCount val="5"/>
                <c:pt idx="0">
                  <c:v>97.649999999999991</c:v>
                </c:pt>
                <c:pt idx="1">
                  <c:v>96.649999999999991</c:v>
                </c:pt>
                <c:pt idx="2">
                  <c:v>95.24</c:v>
                </c:pt>
                <c:pt idx="3">
                  <c:v>95.41</c:v>
                </c:pt>
                <c:pt idx="4">
                  <c:v>97.649999999999991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6-4820-AB0A-A212EE2E3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'G123-A'!$P$3:$P$6</c:f>
              <c:numCache>
                <c:formatCode>0.0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40</c:v>
                </c:pt>
                <c:pt idx="3">
                  <c:v>47</c:v>
                </c:pt>
              </c:numCache>
            </c:numRef>
          </c:xVal>
          <c:yVal>
            <c:numRef>
              <c:f>'G123-A'!$Q$3:$Q$6</c:f>
              <c:numCache>
                <c:formatCode>0.0</c:formatCode>
                <c:ptCount val="4"/>
                <c:pt idx="0">
                  <c:v>95.24</c:v>
                </c:pt>
                <c:pt idx="1">
                  <c:v>91.07</c:v>
                </c:pt>
                <c:pt idx="2">
                  <c:v>86.699999999999989</c:v>
                </c:pt>
                <c:pt idx="3">
                  <c:v>83.96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98-4110-8194-EE8CA65E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layout>
        <c:manualLayout>
          <c:xMode val="edge"/>
          <c:yMode val="edge"/>
          <c:x val="0.33458333333333334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'G31-A'!$P$4:$P$7</c:f>
              <c:numCache>
                <c:formatCode>0.0</c:formatCode>
                <c:ptCount val="4"/>
                <c:pt idx="0">
                  <c:v>0</c:v>
                </c:pt>
                <c:pt idx="1">
                  <c:v>34</c:v>
                </c:pt>
                <c:pt idx="2">
                  <c:v>59</c:v>
                </c:pt>
                <c:pt idx="3">
                  <c:v>74</c:v>
                </c:pt>
              </c:numCache>
            </c:numRef>
          </c:xVal>
          <c:yVal>
            <c:numRef>
              <c:f>'G31-A'!$Q$4:$Q$7</c:f>
              <c:numCache>
                <c:formatCode>0.0</c:formatCode>
                <c:ptCount val="4"/>
                <c:pt idx="0">
                  <c:v>91.759999999999991</c:v>
                </c:pt>
                <c:pt idx="1">
                  <c:v>89.149999999999991</c:v>
                </c:pt>
                <c:pt idx="2">
                  <c:v>88.899999999999991</c:v>
                </c:pt>
                <c:pt idx="3">
                  <c:v>89.13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DD-4F7A-B40F-E66B0B76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'G129-A'!$F$3:$F$7</c:f>
              <c:numCache>
                <c:formatCode>0.0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</c:numCache>
            </c:numRef>
          </c:xVal>
          <c:yVal>
            <c:numRef>
              <c:f>'G129-A'!$H$3:$H$7</c:f>
              <c:numCache>
                <c:formatCode>0.0</c:formatCode>
                <c:ptCount val="5"/>
                <c:pt idx="0">
                  <c:v>94.77</c:v>
                </c:pt>
                <c:pt idx="1">
                  <c:v>93.05</c:v>
                </c:pt>
                <c:pt idx="2">
                  <c:v>92.16</c:v>
                </c:pt>
                <c:pt idx="3">
                  <c:v>92.82</c:v>
                </c:pt>
                <c:pt idx="4">
                  <c:v>94.1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8F-469B-B1B0-085C2D059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'G129-A'!$K$3:$K$7</c:f>
              <c:numCache>
                <c:formatCode>0.0</c:formatCode>
                <c:ptCount val="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</c:numCache>
            </c:numRef>
          </c:xVal>
          <c:yVal>
            <c:numRef>
              <c:f>'G129-A'!$M$3:$M$7</c:f>
              <c:numCache>
                <c:formatCode>0.0</c:formatCode>
                <c:ptCount val="5"/>
                <c:pt idx="0">
                  <c:v>96.11999999999999</c:v>
                </c:pt>
                <c:pt idx="1">
                  <c:v>95.86</c:v>
                </c:pt>
                <c:pt idx="2">
                  <c:v>95.32</c:v>
                </c:pt>
                <c:pt idx="3">
                  <c:v>95.32</c:v>
                </c:pt>
                <c:pt idx="4">
                  <c:v>96.08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BB-4A36-8C3B-6D55F6DE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'G129-A'!$P$3:$P$6</c:f>
              <c:numCache>
                <c:formatCode>0.0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42</c:v>
                </c:pt>
                <c:pt idx="3">
                  <c:v>54</c:v>
                </c:pt>
              </c:numCache>
            </c:numRef>
          </c:xVal>
          <c:yVal>
            <c:numRef>
              <c:f>'G129-A'!$Q$3:$Q$6</c:f>
              <c:numCache>
                <c:formatCode>0.0</c:formatCode>
                <c:ptCount val="4"/>
                <c:pt idx="0">
                  <c:v>95.32</c:v>
                </c:pt>
                <c:pt idx="1">
                  <c:v>94.75</c:v>
                </c:pt>
                <c:pt idx="2">
                  <c:v>93.22</c:v>
                </c:pt>
                <c:pt idx="3">
                  <c:v>92.16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6A-4CE6-AB9F-D06664A7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'G138-B'!$P$3:$P$8</c:f>
              <c:numCache>
                <c:formatCode>0.0</c:formatCode>
                <c:ptCount val="6"/>
                <c:pt idx="0">
                  <c:v>0</c:v>
                </c:pt>
                <c:pt idx="1">
                  <c:v>8</c:v>
                </c:pt>
                <c:pt idx="2">
                  <c:v>13</c:v>
                </c:pt>
                <c:pt idx="3">
                  <c:v>41</c:v>
                </c:pt>
                <c:pt idx="4">
                  <c:v>41</c:v>
                </c:pt>
                <c:pt idx="5">
                  <c:v>43</c:v>
                </c:pt>
              </c:numCache>
            </c:numRef>
          </c:xVal>
          <c:yVal>
            <c:numRef>
              <c:f>'G138-B'!$Q$3:$Q$8</c:f>
              <c:numCache>
                <c:formatCode>0.0</c:formatCode>
                <c:ptCount val="6"/>
                <c:pt idx="0">
                  <c:v>92.13</c:v>
                </c:pt>
                <c:pt idx="1">
                  <c:v>90.86</c:v>
                </c:pt>
                <c:pt idx="2">
                  <c:v>91.23</c:v>
                </c:pt>
                <c:pt idx="3">
                  <c:v>88.33</c:v>
                </c:pt>
                <c:pt idx="4">
                  <c:v>82.83</c:v>
                </c:pt>
                <c:pt idx="5">
                  <c:v>78.03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75-4841-9E3B-3FD3BF75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Nunito Sans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'G61-B'!$F$3:$F$7</c:f>
              <c:numCache>
                <c:formatCode>0.0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</c:numCache>
            </c:numRef>
          </c:xVal>
          <c:yVal>
            <c:numRef>
              <c:f>'G61-B'!$H$3:$H$7</c:f>
              <c:numCache>
                <c:formatCode>0.0</c:formatCode>
                <c:ptCount val="5"/>
                <c:pt idx="0">
                  <c:v>86.539999999999992</c:v>
                </c:pt>
                <c:pt idx="1">
                  <c:v>85.64</c:v>
                </c:pt>
                <c:pt idx="2">
                  <c:v>85.47</c:v>
                </c:pt>
                <c:pt idx="3">
                  <c:v>85.67</c:v>
                </c:pt>
                <c:pt idx="4">
                  <c:v>86.69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6-4CD1-A3D2-0BEE0A06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'G61-B'!$K$3:$K$7</c:f>
              <c:numCache>
                <c:formatCode>0.0</c:formatCode>
                <c:ptCount val="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'G61-B'!$M$3:$M$7</c:f>
              <c:numCache>
                <c:formatCode>0.0</c:formatCode>
                <c:ptCount val="5"/>
                <c:pt idx="0">
                  <c:v>97.91</c:v>
                </c:pt>
                <c:pt idx="1">
                  <c:v>96.92</c:v>
                </c:pt>
                <c:pt idx="2">
                  <c:v>96.78</c:v>
                </c:pt>
                <c:pt idx="3">
                  <c:v>97.02</c:v>
                </c:pt>
                <c:pt idx="4">
                  <c:v>98.21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00-4676-8E4B-C45531B9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'G61-B'!$P$3:$P$7</c:f>
              <c:numCache>
                <c:formatCode>0.0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51</c:v>
                </c:pt>
                <c:pt idx="3">
                  <c:v>59</c:v>
                </c:pt>
              </c:numCache>
            </c:numRef>
          </c:xVal>
          <c:yVal>
            <c:numRef>
              <c:f>'G61-B'!$Q$3:$Q$7</c:f>
              <c:numCache>
                <c:formatCode>0.0</c:formatCode>
                <c:ptCount val="5"/>
                <c:pt idx="0">
                  <c:v>96.78</c:v>
                </c:pt>
                <c:pt idx="1">
                  <c:v>94.09</c:v>
                </c:pt>
                <c:pt idx="2">
                  <c:v>86.64</c:v>
                </c:pt>
                <c:pt idx="3">
                  <c:v>85.47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7A-44FB-BC83-AB66BA0E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Tail Crest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'G63-B'!$F$3:$F$7</c:f>
              <c:numCache>
                <c:formatCode>0.0</c:formatCode>
                <c:ptCount val="5"/>
                <c:pt idx="0">
                  <c:v>1</c:v>
                </c:pt>
                <c:pt idx="1">
                  <c:v>4</c:v>
                </c:pt>
                <c:pt idx="2">
                  <c:v>6.5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'G63-B'!$H$3:$H$7</c:f>
              <c:numCache>
                <c:formatCode>0.0</c:formatCode>
                <c:ptCount val="5"/>
                <c:pt idx="0">
                  <c:v>94</c:v>
                </c:pt>
                <c:pt idx="1">
                  <c:v>92.55</c:v>
                </c:pt>
                <c:pt idx="2">
                  <c:v>92.539999999999992</c:v>
                </c:pt>
                <c:pt idx="3">
                  <c:v>92.61</c:v>
                </c:pt>
                <c:pt idx="4">
                  <c:v>92.84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A-4C44-B73F-12EE3B8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Upstream Cross-Section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'G63-B'!$K$3:$K$5</c:f>
              <c:numCache>
                <c:formatCode>0.0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xVal>
          <c:yVal>
            <c:numRef>
              <c:f>'G63-B'!$M$3:$M$5</c:f>
              <c:numCache>
                <c:formatCode>0.0</c:formatCode>
                <c:ptCount val="3"/>
                <c:pt idx="0">
                  <c:v>98.51</c:v>
                </c:pt>
                <c:pt idx="1">
                  <c:v>97.53</c:v>
                </c:pt>
                <c:pt idx="2">
                  <c:v>98.37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39-4AC5-8DC3-3FFE4756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1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  <a:latin typeface="Nunito Sans" pitchFamily="2" charset="0"/>
              </a:rPr>
              <a:t>Longitudinal Profile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'G63-B'!$P$3:$P$6</c:f>
              <c:numCache>
                <c:formatCode>0.0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41</c:v>
                </c:pt>
                <c:pt idx="3">
                  <c:v>53</c:v>
                </c:pt>
              </c:numCache>
            </c:numRef>
          </c:xVal>
          <c:yVal>
            <c:numRef>
              <c:f>'G63-B'!$Q$3:$Q$6</c:f>
              <c:numCache>
                <c:formatCode>0.0</c:formatCode>
                <c:ptCount val="4"/>
                <c:pt idx="0">
                  <c:v>97.53</c:v>
                </c:pt>
                <c:pt idx="1">
                  <c:v>95</c:v>
                </c:pt>
                <c:pt idx="2">
                  <c:v>93.33</c:v>
                </c:pt>
                <c:pt idx="3">
                  <c:v>92.539999999999992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94-4CFF-8181-CBA7CB48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50991"/>
        <c:axId val="901450511"/>
      </c:scatterChart>
      <c:valAx>
        <c:axId val="9014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Nunito Sans" pitchFamily="2" charset="0"/>
                  </a:rPr>
                  <a:t>Station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511"/>
        <c:crosses val="autoZero"/>
        <c:crossBetween val="midCat"/>
        <c:majorUnit val="5"/>
      </c:valAx>
      <c:valAx>
        <c:axId val="90145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  <a:r>
                  <a:rPr lang="en-US" baseline="0"/>
                  <a:t> (ft, local datum)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 Sans" pitchFamily="2" charset="0"/>
                <a:ea typeface="+mn-ea"/>
                <a:cs typeface="+mn-cs"/>
              </a:defRPr>
            </a:pPr>
            <a:endParaRPr lang="en-US"/>
          </a:p>
        </c:txPr>
        <c:crossAx val="90145099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15</xdr:row>
      <xdr:rowOff>9525</xdr:rowOff>
    </xdr:from>
    <xdr:to>
      <xdr:col>5</xdr:col>
      <xdr:colOff>723900</xdr:colOff>
      <xdr:row>29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3A56CB-563A-49DF-8A8F-E928A1449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809625</xdr:colOff>
      <xdr:row>15</xdr:row>
      <xdr:rowOff>0</xdr:rowOff>
    </xdr:from>
    <xdr:to>
      <xdr:col>10</xdr:col>
      <xdr:colOff>581025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F1FB9B-5FC4-46D6-AEFF-AE0EBC23A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676273</xdr:colOff>
      <xdr:row>15</xdr:row>
      <xdr:rowOff>0</xdr:rowOff>
    </xdr:from>
    <xdr:to>
      <xdr:col>16</xdr:col>
      <xdr:colOff>238123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419067-1FB1-4897-A221-74CAADEB8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5</xdr:col>
      <xdr:colOff>276225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AB6F2A-4D4E-4A09-9743-387B778FF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400049</xdr:colOff>
      <xdr:row>11</xdr:row>
      <xdr:rowOff>47625</xdr:rowOff>
    </xdr:from>
    <xdr:to>
      <xdr:col>10</xdr:col>
      <xdr:colOff>1000124</xdr:colOff>
      <xdr:row>25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FEE2E3-ED79-4BFE-965C-599E5E9C6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1123950</xdr:colOff>
      <xdr:row>11</xdr:row>
      <xdr:rowOff>47625</xdr:rowOff>
    </xdr:from>
    <xdr:to>
      <xdr:col>16</xdr:col>
      <xdr:colOff>723900</xdr:colOff>
      <xdr:row>25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8F66CC-2029-4435-871A-CC66CFD64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13</xdr:row>
      <xdr:rowOff>66675</xdr:rowOff>
    </xdr:from>
    <xdr:to>
      <xdr:col>5</xdr:col>
      <xdr:colOff>400049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8A2D6-2A38-4C67-B146-A0C2D9B49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485774</xdr:colOff>
      <xdr:row>13</xdr:row>
      <xdr:rowOff>66675</xdr:rowOff>
    </xdr:from>
    <xdr:to>
      <xdr:col>10</xdr:col>
      <xdr:colOff>1000124</xdr:colOff>
      <xdr:row>27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24AED9-1682-4125-87AB-FB0744B61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1123950</xdr:colOff>
      <xdr:row>13</xdr:row>
      <xdr:rowOff>66675</xdr:rowOff>
    </xdr:from>
    <xdr:to>
      <xdr:col>16</xdr:col>
      <xdr:colOff>781050</xdr:colOff>
      <xdr:row>27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03984E-6E47-4103-9B22-B5F24EAC5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11</xdr:row>
      <xdr:rowOff>85725</xdr:rowOff>
    </xdr:from>
    <xdr:to>
      <xdr:col>17</xdr:col>
      <xdr:colOff>257175</xdr:colOff>
      <xdr:row>25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D1FB0C-8C2F-47F9-9D9D-989478B1C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13</xdr:row>
      <xdr:rowOff>85725</xdr:rowOff>
    </xdr:from>
    <xdr:to>
      <xdr:col>5</xdr:col>
      <xdr:colOff>466724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323FB1-443C-49E8-8374-CFD3A2B04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628649</xdr:colOff>
      <xdr:row>13</xdr:row>
      <xdr:rowOff>85725</xdr:rowOff>
    </xdr:from>
    <xdr:to>
      <xdr:col>10</xdr:col>
      <xdr:colOff>571499</xdr:colOff>
      <xdr:row>27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60703A-02BA-475C-A157-D78085E72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666749</xdr:colOff>
      <xdr:row>13</xdr:row>
      <xdr:rowOff>85724</xdr:rowOff>
    </xdr:from>
    <xdr:to>
      <xdr:col>15</xdr:col>
      <xdr:colOff>685799</xdr:colOff>
      <xdr:row>27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741952-2291-4CAE-9A03-79BCCD7D5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13</xdr:row>
      <xdr:rowOff>142875</xdr:rowOff>
    </xdr:from>
    <xdr:to>
      <xdr:col>5</xdr:col>
      <xdr:colOff>885824</xdr:colOff>
      <xdr:row>28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1FCA3D-650E-40EC-AEEE-E36D9AFE7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990600</xdr:colOff>
      <xdr:row>13</xdr:row>
      <xdr:rowOff>152400</xdr:rowOff>
    </xdr:from>
    <xdr:to>
      <xdr:col>10</xdr:col>
      <xdr:colOff>828675</xdr:colOff>
      <xdr:row>28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8DEEED-67A1-41CB-8837-33999EADF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942975</xdr:colOff>
      <xdr:row>13</xdr:row>
      <xdr:rowOff>142875</xdr:rowOff>
    </xdr:from>
    <xdr:to>
      <xdr:col>16</xdr:col>
      <xdr:colOff>733425</xdr:colOff>
      <xdr:row>28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19FC08-A5C3-4060-BB03-2903B47E7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9525</xdr:rowOff>
    </xdr:from>
    <xdr:to>
      <xdr:col>5</xdr:col>
      <xdr:colOff>485774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9CF11E-3098-4C97-B631-943D48F46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600074</xdr:colOff>
      <xdr:row>12</xdr:row>
      <xdr:rowOff>9525</xdr:rowOff>
    </xdr:from>
    <xdr:to>
      <xdr:col>10</xdr:col>
      <xdr:colOff>1209674</xdr:colOff>
      <xdr:row>26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593C3A-76E8-4850-B053-0167A5E2F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1323975</xdr:colOff>
      <xdr:row>12</xdr:row>
      <xdr:rowOff>0</xdr:rowOff>
    </xdr:from>
    <xdr:to>
      <xdr:col>16</xdr:col>
      <xdr:colOff>971550</xdr:colOff>
      <xdr:row>26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E71EC-3A95-495F-A30A-9AB479BEF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13</xdr:row>
      <xdr:rowOff>57150</xdr:rowOff>
    </xdr:from>
    <xdr:to>
      <xdr:col>5</xdr:col>
      <xdr:colOff>571499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A0238E-99C0-4609-A687-5E88C819F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695324</xdr:colOff>
      <xdr:row>13</xdr:row>
      <xdr:rowOff>57150</xdr:rowOff>
    </xdr:from>
    <xdr:to>
      <xdr:col>10</xdr:col>
      <xdr:colOff>1228724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727B9A-2C98-4E73-9F0F-F75FA3AE8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1390650</xdr:colOff>
      <xdr:row>13</xdr:row>
      <xdr:rowOff>57150</xdr:rowOff>
    </xdr:from>
    <xdr:to>
      <xdr:col>16</xdr:col>
      <xdr:colOff>962025</xdr:colOff>
      <xdr:row>27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FF7916-4E92-46B6-AB1E-CC23D4C18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114300</xdr:rowOff>
    </xdr:from>
    <xdr:to>
      <xdr:col>5</xdr:col>
      <xdr:colOff>523874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D3BA9E-143F-4A0D-A65E-0F09D23F7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13</xdr:row>
      <xdr:rowOff>123825</xdr:rowOff>
    </xdr:from>
    <xdr:to>
      <xdr:col>10</xdr:col>
      <xdr:colOff>1066800</xdr:colOff>
      <xdr:row>28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0E9100-0E9E-4997-B0E3-54F699AB3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1152525</xdr:colOff>
      <xdr:row>13</xdr:row>
      <xdr:rowOff>123825</xdr:rowOff>
    </xdr:from>
    <xdr:to>
      <xdr:col>16</xdr:col>
      <xdr:colOff>809625</xdr:colOff>
      <xdr:row>28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7245B0-FBD8-45B1-94C6-8E7EFF558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11</xdr:row>
      <xdr:rowOff>47625</xdr:rowOff>
    </xdr:from>
    <xdr:to>
      <xdr:col>5</xdr:col>
      <xdr:colOff>495299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4D09AE-A314-4E76-AF99-A650FE468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590549</xdr:colOff>
      <xdr:row>11</xdr:row>
      <xdr:rowOff>38100</xdr:rowOff>
    </xdr:from>
    <xdr:to>
      <xdr:col>10</xdr:col>
      <xdr:colOff>1171574</xdr:colOff>
      <xdr:row>25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1DE3B1-4988-4453-87AE-2A101DC3C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1285875</xdr:colOff>
      <xdr:row>11</xdr:row>
      <xdr:rowOff>47625</xdr:rowOff>
    </xdr:from>
    <xdr:to>
      <xdr:col>16</xdr:col>
      <xdr:colOff>904875</xdr:colOff>
      <xdr:row>25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7591AA-F610-4AF0-BF6B-3FC7B9C3D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14</xdr:row>
      <xdr:rowOff>95250</xdr:rowOff>
    </xdr:from>
    <xdr:to>
      <xdr:col>12</xdr:col>
      <xdr:colOff>447675</xdr:colOff>
      <xdr:row>28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7A07FF-343E-4B80-8951-A8D570EB7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762001</xdr:colOff>
      <xdr:row>14</xdr:row>
      <xdr:rowOff>85725</xdr:rowOff>
    </xdr:from>
    <xdr:to>
      <xdr:col>19</xdr:col>
      <xdr:colOff>542926</xdr:colOff>
      <xdr:row>28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E966C2-7E36-40D0-BB0B-24B80C967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5</xdr:col>
      <xdr:colOff>114300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79DCD5-48A9-489B-A11F-7DB8C451A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228599</xdr:colOff>
      <xdr:row>11</xdr:row>
      <xdr:rowOff>47625</xdr:rowOff>
    </xdr:from>
    <xdr:to>
      <xdr:col>10</xdr:col>
      <xdr:colOff>790574</xdr:colOff>
      <xdr:row>25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E5ABB-37AE-48C1-965C-38FD2D37C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885825</xdr:colOff>
      <xdr:row>11</xdr:row>
      <xdr:rowOff>38100</xdr:rowOff>
    </xdr:from>
    <xdr:to>
      <xdr:col>16</xdr:col>
      <xdr:colOff>466725</xdr:colOff>
      <xdr:row>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6A7F44-63C8-48C6-B530-AE476596F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399F1D2-2D7B-4E78-AAE5-595C210DC8D9}" name="General3410" displayName="General3410" ref="A2:D13" totalsRowShown="0" headerRowDxfId="359" dataDxfId="357" headerRowBorderDxfId="358" tableBorderDxfId="356">
  <autoFilter ref="A2:D13" xr:uid="{F399F1D2-2D7B-4E78-AAE5-595C210DC8D9}"/>
  <tableColumns count="4">
    <tableColumn id="1" xr3:uid="{AA5C06A6-66DA-4E78-B342-1677E8B0178E}" name="Station" dataDxfId="355"/>
    <tableColumn id="2" xr3:uid="{1DCB5860-80B4-49EA-869C-2FCF60B236F1}" name="Survey Reading" dataDxfId="354"/>
    <tableColumn id="3" xr3:uid="{25C83A91-E8D4-49EA-94E8-028596FAE4E8}" name="Elevation (ft, local datum)" dataDxfId="353"/>
    <tableColumn id="4" xr3:uid="{6075C680-89B3-4514-8280-CB27EA86A346}" name="Notes" dataDxfId="35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BEF23D8-DEEE-4AF0-8365-1933E79A1AB3}" name="TailCrest35" displayName="TailCrest35" ref="F1:I9" totalsRowShown="0" headerRowDxfId="291" dataDxfId="289" headerRowBorderDxfId="290" tableBorderDxfId="288">
  <autoFilter ref="F1:I9" xr:uid="{4F0CFC2D-9AE6-4341-A3E4-861367FED23E}"/>
  <tableColumns count="4">
    <tableColumn id="1" xr3:uid="{3265AE6A-5111-4650-A7E3-BCB85E46D45A}" name="Station (ft)" dataDxfId="287"/>
    <tableColumn id="2" xr3:uid="{FF49E91E-CFAD-4B26-B5A8-7C7A2ACB3162}" name="Survey Reading" dataDxfId="286"/>
    <tableColumn id="3" xr3:uid="{E8874613-B46F-4CCF-8919-81E79FCE6DA7}" name="Elevation (ft, local datum)" dataDxfId="285">
      <calculatedColumnFormula>$C$3-G2</calculatedColumnFormula>
    </tableColumn>
    <tableColumn id="4" xr3:uid="{CEC3FB94-CD48-41EF-AF7C-051A665062CC}" name="Notes" dataDxfId="28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1E13A1-46CE-4D41-8AF1-A70442C4A9D8}" name="Upstream36" displayName="Upstream36" ref="K1:N7" totalsRowShown="0" headerRowDxfId="283" dataDxfId="281" headerRowBorderDxfId="282" tableBorderDxfId="280">
  <autoFilter ref="K1:N7" xr:uid="{73779CC0-1CA8-44D8-AA53-14B83D471DE8}"/>
  <tableColumns count="4">
    <tableColumn id="1" xr3:uid="{F5B5F526-9E91-49C3-9DC5-E2533D2E3F21}" name="Station (ft)" dataDxfId="279"/>
    <tableColumn id="2" xr3:uid="{F26ECF54-CFE9-4949-9FEF-1C2F9B2B5E5F}" name="Survey Reading" dataDxfId="278"/>
    <tableColumn id="3" xr3:uid="{76F4D68D-23B1-4DCE-8024-741E2E64AB19}" name="Elevation" dataDxfId="277">
      <calculatedColumnFormula>$C$3-L2</calculatedColumnFormula>
    </tableColumn>
    <tableColumn id="4" xr3:uid="{BAD1CB04-85BA-4514-B099-D3A7CD60EFA4}" name="Notes" dataDxfId="27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65514B8-3D70-48B6-81EF-869A7B8CD7C3}" name="LongPro37" displayName="LongPro37" ref="P1:Q7" totalsRowShown="0" headerRowDxfId="275" dataDxfId="273" headerRowBorderDxfId="274" tableBorderDxfId="272">
  <autoFilter ref="P1:Q7" xr:uid="{AE61B507-9B9F-4E87-86BC-A619036F36A9}"/>
  <tableColumns count="2">
    <tableColumn id="1" xr3:uid="{55B06974-8D37-4911-B161-7F236860EDF6}" name="Station (ft)" dataDxfId="271"/>
    <tableColumn id="2" xr3:uid="{571C2437-E627-4C29-B4C8-F97E1E0E67DD}" name="Elevation (ft, local datum)" dataDxfId="270">
      <calculatedColumnFormula>C3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90DB316-DCF0-4C13-9DBC-CC66F3AED9EB}" name="General38" displayName="General38" ref="A1:D10" totalsRowShown="0" headerRowDxfId="269" dataDxfId="267" headerRowBorderDxfId="268" tableBorderDxfId="266">
  <autoFilter ref="A1:D10" xr:uid="{EDFF45E8-845E-44D3-9008-4FB9E05A35A3}"/>
  <tableColumns count="4">
    <tableColumn id="1" xr3:uid="{A57DECDD-752C-47BA-B7B7-89F2E7B57D8E}" name="Station" dataDxfId="265"/>
    <tableColumn id="2" xr3:uid="{78018C1E-F509-4959-AB8B-273328868E91}" name="Survey Reading" dataDxfId="264"/>
    <tableColumn id="3" xr3:uid="{00690B5C-B10C-42A8-B9FF-59581C2F78C4}" name="Elevation (ft, local datum)" dataDxfId="263"/>
    <tableColumn id="4" xr3:uid="{A3088C99-EF0D-453F-BB8B-BEEFBF60B7F6}" name="Notes" dataDxfId="26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B42169-2612-46CA-AA13-2855A01B9637}" name="TailCrest39" displayName="TailCrest39" ref="F1:I7" totalsRowShown="0" headerRowDxfId="261" dataDxfId="259" headerRowBorderDxfId="260" tableBorderDxfId="258">
  <autoFilter ref="F1:I7" xr:uid="{4F0CFC2D-9AE6-4341-A3E4-861367FED23E}"/>
  <tableColumns count="4">
    <tableColumn id="1" xr3:uid="{41563DED-C0C8-4CB5-8A1B-69A2165DCAC6}" name="Station (ft)" dataDxfId="257"/>
    <tableColumn id="2" xr3:uid="{9ECD6186-1833-45DE-A3B5-22A3AC5DC4F2}" name="Survey Reading" dataDxfId="256"/>
    <tableColumn id="3" xr3:uid="{9302B0F7-A6F3-40CE-A2F2-AC7B574EC3C2}" name="Elevation (ft, local datum)" dataDxfId="255">
      <calculatedColumnFormula>$C$3-G2</calculatedColumnFormula>
    </tableColumn>
    <tableColumn id="4" xr3:uid="{DBF64563-AEA7-411C-90D3-3C41AE65E7CD}" name="Notes" dataDxfId="25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392E3BD-E15F-4324-A878-0F3FA8D60BD5}" name="Upstream40" displayName="Upstream40" ref="K1:N7" totalsRowShown="0" headerRowDxfId="253" dataDxfId="251" headerRowBorderDxfId="252" tableBorderDxfId="250">
  <autoFilter ref="K1:N7" xr:uid="{73779CC0-1CA8-44D8-AA53-14B83D471DE8}"/>
  <tableColumns count="4">
    <tableColumn id="1" xr3:uid="{6BBE7B89-C527-401A-9A69-C4A232539036}" name="Station (ft)" dataDxfId="249"/>
    <tableColumn id="2" xr3:uid="{E0063A8F-FE41-4E75-A3B8-BD86A5E23B1A}" name="Survey Reading" dataDxfId="248"/>
    <tableColumn id="3" xr3:uid="{B43611D5-8AA6-433C-86B9-39FA6E321EF1}" name="Elevation (ft, local datum)" dataDxfId="247">
      <calculatedColumnFormula>$C$3-L2</calculatedColumnFormula>
    </tableColumn>
    <tableColumn id="4" xr3:uid="{986A3D97-D6F2-461F-936B-61C5FAB4502B}" name="Notes" dataDxfId="24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B1B06C6-2610-4CC5-A49D-AACB13B6C6B8}" name="LongPro41" displayName="LongPro41" ref="P1:Q7" totalsRowShown="0" headerRowDxfId="245" dataDxfId="243" headerRowBorderDxfId="244" tableBorderDxfId="242">
  <autoFilter ref="P1:Q7" xr:uid="{AE61B507-9B9F-4E87-86BC-A619036F36A9}"/>
  <tableColumns count="2">
    <tableColumn id="1" xr3:uid="{9C690F88-E223-43BC-9EEF-C4EBE800EDE2}" name="Station (ft)" dataDxfId="241"/>
    <tableColumn id="2" xr3:uid="{8C6B6051-9B18-4C72-911A-1886210FC271}" name="Elevation (ft, local datum)" dataDxfId="240">
      <calculatedColumnFormula>C3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357D10-11D5-4479-83F6-566D0FDF86E0}" name="General126" displayName="General126" ref="A1:D12" totalsRowShown="0" headerRowDxfId="239" dataDxfId="237" headerRowBorderDxfId="238" tableBorderDxfId="236">
  <autoFilter ref="A1:D12" xr:uid="{EDFF45E8-845E-44D3-9008-4FB9E05A35A3}"/>
  <tableColumns count="4">
    <tableColumn id="1" xr3:uid="{B49BB1F9-1C2C-408D-A759-F0C6CE36F5B7}" name="Station" dataDxfId="235"/>
    <tableColumn id="2" xr3:uid="{45A8349B-1805-4DCD-A5C4-4A6425835629}" name="Survey Reading" dataDxfId="234"/>
    <tableColumn id="3" xr3:uid="{C31D1DAD-F681-4480-B6DA-CE29720421CC}" name="Elevation (ft, local datum)" dataDxfId="233"/>
    <tableColumn id="4" xr3:uid="{6BCF1DBA-CAB6-4061-97AC-0A75E6A31728}" name="Notes" dataDxfId="23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EFA109-40E8-4CEF-9AA8-2FF7957E79CF}" name="TailCrest127" displayName="TailCrest127" ref="F1:I9" totalsRowShown="0" headerRowDxfId="231" dataDxfId="229" headerRowBorderDxfId="230" tableBorderDxfId="228">
  <autoFilter ref="F1:I9" xr:uid="{4F0CFC2D-9AE6-4341-A3E4-861367FED23E}"/>
  <tableColumns count="4">
    <tableColumn id="1" xr3:uid="{89A92DB9-E032-48DD-B34D-CEC872FA9C32}" name="Station (ft)" dataDxfId="227"/>
    <tableColumn id="2" xr3:uid="{E990A1D6-3DF1-4B3A-9E30-586F05453AEB}" name="Survey Reading" dataDxfId="226"/>
    <tableColumn id="3" xr3:uid="{9223EE53-414D-471A-AAEB-EAA1636DF9C3}" name="Elevation (ft, local datum)" dataDxfId="225">
      <calculatedColumnFormula>$C$3-G2</calculatedColumnFormula>
    </tableColumn>
    <tableColumn id="4" xr3:uid="{232D61D4-F8C3-4CFA-8F99-98D47BBCBE5C}" name="Notes" dataDxfId="22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B60D24-35A7-46E7-9A00-454642EBF017}" name="Upstream128" displayName="Upstream128" ref="K1:N9" totalsRowShown="0" headerRowDxfId="223" dataDxfId="221" headerRowBorderDxfId="222" tableBorderDxfId="220">
  <autoFilter ref="K1:N9" xr:uid="{73779CC0-1CA8-44D8-AA53-14B83D471DE8}"/>
  <tableColumns count="4">
    <tableColumn id="1" xr3:uid="{26738F74-1B1B-42C5-85B3-4EA5F97FACC9}" name="Station (ft)" dataDxfId="219"/>
    <tableColumn id="2" xr3:uid="{E0308340-0823-4907-90D5-1AC1D0A57CAD}" name="Survey Reading" dataDxfId="218"/>
    <tableColumn id="3" xr3:uid="{A9D35CD7-5D3A-41A7-9FEC-B4D2C3537C2A}" name="Elevation (ft, local datum)" dataDxfId="217">
      <calculatedColumnFormula>$C$3-L2</calculatedColumnFormula>
    </tableColumn>
    <tableColumn id="4" xr3:uid="{290A590A-7CAA-4F37-A909-734630C95180}" name="Notes" dataDxfId="2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351D66-4E9D-44A7-90D3-7C96260A7CF3}" name="TailCrest3511" displayName="TailCrest3511" ref="F2:I10" totalsRowShown="0" headerRowDxfId="351" dataDxfId="349" headerRowBorderDxfId="350" tableBorderDxfId="348">
  <autoFilter ref="F2:I10" xr:uid="{00351D66-4E9D-44A7-90D3-7C96260A7CF3}"/>
  <tableColumns count="4">
    <tableColumn id="1" xr3:uid="{F7D20923-59F9-46DA-A76F-EA3652EC31E2}" name="Station (ft)" dataDxfId="347"/>
    <tableColumn id="2" xr3:uid="{A6181AFA-082A-480F-A8F6-38C109E087A9}" name="Survey Reading" dataDxfId="346"/>
    <tableColumn id="3" xr3:uid="{975E6FC1-9A7A-4294-9BBB-1701BE4BC59F}" name="Elevation (ft, local datum)" dataDxfId="345">
      <calculatedColumnFormula>$C$4-G3</calculatedColumnFormula>
    </tableColumn>
    <tableColumn id="4" xr3:uid="{904C19CC-4FB5-43FF-BEB9-AE878C573917}" name="Notes" dataDxfId="34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B277CB-5103-4955-8817-2F768FA00CF9}" name="LongPro129" displayName="LongPro129" ref="P1:Q7" totalsRowShown="0" headerRowDxfId="215" dataDxfId="213" headerRowBorderDxfId="214" tableBorderDxfId="212">
  <autoFilter ref="P1:Q7" xr:uid="{AE61B507-9B9F-4E87-86BC-A619036F36A9}"/>
  <tableColumns count="2">
    <tableColumn id="1" xr3:uid="{4DB134BC-76B2-4820-9A7D-10C75520F0AC}" name="Station (ft)" dataDxfId="211"/>
    <tableColumn id="2" xr3:uid="{4399A1C0-7885-4AA9-89CF-4A42F5259A61}" name="Elevation (ft, local datum)" dataDxfId="210">
      <calculatedColumnFormula>Q3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1258648-A51C-424D-9FF9-8E66E6C7315E}" name="General134" displayName="General134" ref="A1:D12" totalsRowShown="0" headerRowDxfId="209" dataDxfId="207" headerRowBorderDxfId="208" tableBorderDxfId="206">
  <autoFilter ref="A1:D12" xr:uid="{EDFF45E8-845E-44D3-9008-4FB9E05A35A3}"/>
  <tableColumns count="4">
    <tableColumn id="1" xr3:uid="{18502820-CF54-4686-80DF-B54D82FE0088}" name="Station" dataDxfId="205"/>
    <tableColumn id="2" xr3:uid="{9DB6EBD7-5FED-42C0-A87F-AD80601FFFC3}" name="Survey Reading" dataDxfId="204"/>
    <tableColumn id="3" xr3:uid="{5037047F-7732-4D8A-9417-6024834DB48D}" name="Elevation (ft, local datum)" dataDxfId="203"/>
    <tableColumn id="4" xr3:uid="{2AA43224-C800-4DB5-AC5F-7D798953A372}" name="Notes" dataDxfId="20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C89AF6B-1B90-46D9-9E35-2ECB43586C16}" name="TailCrest135" displayName="TailCrest135" ref="F1:I9" totalsRowShown="0" headerRowDxfId="201" dataDxfId="199" headerRowBorderDxfId="200" tableBorderDxfId="198">
  <autoFilter ref="F1:I9" xr:uid="{4F0CFC2D-9AE6-4341-A3E4-861367FED23E}"/>
  <tableColumns count="4">
    <tableColumn id="1" xr3:uid="{9ED3722B-2C68-46E6-AAD5-ECCF7EDD2870}" name="Station (ft)" dataDxfId="197"/>
    <tableColumn id="2" xr3:uid="{C1390213-6C08-439B-A260-73F4233FCBF1}" name="Survey Reading" dataDxfId="196"/>
    <tableColumn id="3" xr3:uid="{522994BC-C44B-438A-B666-3BF8EB2C7664}" name="Elevation (ft, local datum)" dataDxfId="195">
      <calculatedColumnFormula>$C$3-G2</calculatedColumnFormula>
    </tableColumn>
    <tableColumn id="4" xr3:uid="{4962E101-84F1-45C5-867C-3320EA61580E}" name="Notes" dataDxfId="19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4455E68-C01A-4433-91AE-5BCBF49D95CC}" name="Upstream136" displayName="Upstream136" ref="K1:N9" totalsRowShown="0" headerRowDxfId="193" dataDxfId="191" headerRowBorderDxfId="192" tableBorderDxfId="190">
  <autoFilter ref="K1:N9" xr:uid="{73779CC0-1CA8-44D8-AA53-14B83D471DE8}"/>
  <tableColumns count="4">
    <tableColumn id="1" xr3:uid="{2E0E5BDA-FEEE-405D-B074-CD9438A02D50}" name="Station (ft)" dataDxfId="189"/>
    <tableColumn id="2" xr3:uid="{D9197F4B-293A-4931-BF6C-3DFC834915AE}" name="Survey Reading" dataDxfId="188"/>
    <tableColumn id="3" xr3:uid="{F23968FD-41B1-40BA-B9C3-A77D24048DC1}" name="Elevation (ft, local datum)" dataDxfId="187">
      <calculatedColumnFormula>$C$3-L2</calculatedColumnFormula>
    </tableColumn>
    <tableColumn id="4" xr3:uid="{CB07764A-CA4F-4078-A6A0-AE4923D9C30F}" name="Notes" dataDxfId="18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C0DA5B9-5DFB-42BA-BF6C-FAA26CF578BE}" name="LongPro137" displayName="LongPro137" ref="P1:Q7" totalsRowShown="0" headerRowDxfId="185" dataDxfId="183" headerRowBorderDxfId="184" tableBorderDxfId="182">
  <autoFilter ref="P1:Q7" xr:uid="{AE61B507-9B9F-4E87-86BC-A619036F36A9}"/>
  <tableColumns count="2">
    <tableColumn id="1" xr3:uid="{AD843FA3-44EC-489C-B2F4-92345EC053F2}" name="Station (ft)" dataDxfId="181"/>
    <tableColumn id="2" xr3:uid="{7515A656-2C8D-4030-82DA-7D490F7522F3}" name="Elevation (ft, local datum)" dataDxfId="180">
      <calculatedColumnFormula>C3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81D2F46-045D-4787-B360-50AD031E8530}" name="General138" displayName="General138" ref="A1:D10" totalsRowShown="0" headerRowDxfId="179" dataDxfId="177" headerRowBorderDxfId="178" tableBorderDxfId="176">
  <autoFilter ref="A1:D10" xr:uid="{EDFF45E8-845E-44D3-9008-4FB9E05A35A3}"/>
  <tableColumns count="4">
    <tableColumn id="1" xr3:uid="{96ECA90B-BB79-40FE-B57B-8F1D7F398B60}" name="Station" dataDxfId="175"/>
    <tableColumn id="2" xr3:uid="{FD8D53B6-8C01-427A-84EE-D4750E0E2F65}" name="Survey Reading" dataDxfId="174"/>
    <tableColumn id="3" xr3:uid="{AF0480AB-20EB-4E5E-B0EE-A703C067F9F6}" name="Elevation (ft, local datum)" dataDxfId="173"/>
    <tableColumn id="4" xr3:uid="{6F85B8C2-12FC-4BCE-A804-58A74BD6E3D1}" name="Notes" dataDxfId="17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57563F8-79F2-4046-9F40-B4AD11A24456}" name="TailCrest139" displayName="TailCrest139" ref="F1:I9" totalsRowShown="0" headerRowDxfId="171" dataDxfId="169" headerRowBorderDxfId="170" tableBorderDxfId="168">
  <autoFilter ref="F1:I9" xr:uid="{4F0CFC2D-9AE6-4341-A3E4-861367FED23E}"/>
  <tableColumns count="4">
    <tableColumn id="1" xr3:uid="{887A1DB3-B5B3-41CC-9D73-98F5B3B6C0A3}" name="Station (ft)" dataDxfId="167"/>
    <tableColumn id="2" xr3:uid="{C7E923E4-8AAA-42A7-961F-B6B32CDC6BEB}" name="Survey Reading" dataDxfId="166"/>
    <tableColumn id="3" xr3:uid="{67AD660E-8979-4D85-B112-6DEA3ED0B42C}" name="Elevation (ft, local datum)" dataDxfId="165">
      <calculatedColumnFormula>$C$3-G2</calculatedColumnFormula>
    </tableColumn>
    <tableColumn id="4" xr3:uid="{D83CE89D-17BC-42FD-B3A8-DDBC9A798D07}" name="Notes" dataDxfId="164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AFBBB3D-9F29-4083-9DB2-327AA6140DFA}" name="Upstream140" displayName="Upstream140" ref="K1:N9" totalsRowShown="0" headerRowDxfId="163" dataDxfId="161" headerRowBorderDxfId="162" tableBorderDxfId="160">
  <autoFilter ref="K1:N9" xr:uid="{73779CC0-1CA8-44D8-AA53-14B83D471DE8}"/>
  <tableColumns count="4">
    <tableColumn id="1" xr3:uid="{80B36B08-99BD-4C9F-B37D-D5909C945903}" name="Station (ft)" dataDxfId="159"/>
    <tableColumn id="2" xr3:uid="{E580525C-9F9A-4090-88A7-F0B24ABB7717}" name="Survey Reading" dataDxfId="158"/>
    <tableColumn id="3" xr3:uid="{73A03625-D9BE-4AA5-A1E7-2E7EE5FA0967}" name="Elevation (ft, local datum)" dataDxfId="157">
      <calculatedColumnFormula>$C$3-L2</calculatedColumnFormula>
    </tableColumn>
    <tableColumn id="4" xr3:uid="{E2E3FCB6-DFD0-4DEF-8678-8C8266C69654}" name="Notes" dataDxfId="15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8D2BBA3-CBA3-451E-BC06-75349900F0F2}" name="LongPro141" displayName="LongPro141" ref="P1:Q7" totalsRowShown="0" headerRowDxfId="155" dataDxfId="153" headerRowBorderDxfId="154" tableBorderDxfId="152">
  <autoFilter ref="P1:Q7" xr:uid="{AE61B507-9B9F-4E87-86BC-A619036F36A9}"/>
  <tableColumns count="2">
    <tableColumn id="1" xr3:uid="{B146BA6C-3CA3-4605-BEC5-028947CE3679}" name="Station (ft)" dataDxfId="151"/>
    <tableColumn id="2" xr3:uid="{DC3A8E30-8BC6-4A4E-95D2-4C7C787BE143}" name="Elevation (ft, local datum)" dataDxfId="150">
      <calculatedColumnFormula>C3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5F40365-9DFA-4AFC-9EDB-0AE601C6C779}" name="General146" displayName="General146" ref="A1:D12" totalsRowShown="0" headerRowDxfId="149" dataDxfId="147" headerRowBorderDxfId="148" tableBorderDxfId="146">
  <autoFilter ref="A1:D12" xr:uid="{EDFF45E8-845E-44D3-9008-4FB9E05A35A3}"/>
  <tableColumns count="4">
    <tableColumn id="1" xr3:uid="{28A710D2-3F51-4A53-AF40-5A3229B35644}" name="Station" dataDxfId="145"/>
    <tableColumn id="2" xr3:uid="{90070F1D-E80A-41C9-B256-8605C475CAC1}" name="Survey Reading" dataDxfId="144"/>
    <tableColumn id="3" xr3:uid="{55B96C6C-3DB0-4EB2-BCC4-3BDA674931E5}" name="Elevation (ft, local datum)" dataDxfId="143"/>
    <tableColumn id="4" xr3:uid="{EE92520A-77D1-43A4-A11F-4C7A880CE5A9}" name="Notes" dataDxfId="1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A18DB47-36A5-4FBB-923D-BEA88DB0B39F}" name="Upstream3612" displayName="Upstream3612" ref="K2:N11" totalsRowShown="0" headerRowDxfId="343" dataDxfId="341" headerRowBorderDxfId="342" tableBorderDxfId="340">
  <autoFilter ref="K2:N11" xr:uid="{7A18DB47-36A5-4FBB-923D-BEA88DB0B39F}"/>
  <tableColumns count="4">
    <tableColumn id="1" xr3:uid="{D0386B67-0455-435C-9892-8E7A5C1F9A44}" name="Station (ft)" dataDxfId="339"/>
    <tableColumn id="2" xr3:uid="{A0F050FD-EC96-4B6D-803D-20E4F71D66A7}" name="Survey Reading" dataDxfId="338"/>
    <tableColumn id="3" xr3:uid="{8F99B574-2F42-491E-B776-72BB9F464BB5}" name="Elevation (ft, local datum)" dataDxfId="337">
      <calculatedColumnFormula>$C$4-L3</calculatedColumnFormula>
    </tableColumn>
    <tableColumn id="4" xr3:uid="{60E775EE-5E63-41B9-BDBA-D74427916140}" name="Notes" dataDxfId="33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F866659-F1CF-4AB1-A860-3303792F202E}" name="Upstream148" displayName="Upstream148" ref="K1:N9" totalsRowShown="0" headerRowDxfId="141" dataDxfId="139" headerRowBorderDxfId="140" tableBorderDxfId="138">
  <autoFilter ref="K1:N9" xr:uid="{73779CC0-1CA8-44D8-AA53-14B83D471DE8}"/>
  <tableColumns count="4">
    <tableColumn id="1" xr3:uid="{77E0DC83-45F4-4851-821B-D2F412F08615}" name="Station (ft)" dataDxfId="137"/>
    <tableColumn id="2" xr3:uid="{F612C0BB-F94D-4608-9A46-2A91075992FE}" name="Survey Reading" dataDxfId="136"/>
    <tableColumn id="3" xr3:uid="{C682F068-FE31-44E4-8D91-E35F068F029C}" name="Elevation (ft, local datum)" dataDxfId="135">
      <calculatedColumnFormula>$C$3-L2</calculatedColumnFormula>
    </tableColumn>
    <tableColumn id="4" xr3:uid="{EFE72EBC-D826-4C6C-A7B4-335CDD435BE4}" name="Notes" dataDxfId="13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397A38A-883C-44C2-9126-AAC022AD22DA}" name="LongPro149" displayName="LongPro149" ref="P1:Q5" totalsRowShown="0" headerRowDxfId="133" dataDxfId="131" headerRowBorderDxfId="132" tableBorderDxfId="130">
  <autoFilter ref="P1:Q5" xr:uid="{AE61B507-9B9F-4E87-86BC-A619036F36A9}"/>
  <tableColumns count="2">
    <tableColumn id="1" xr3:uid="{D42A5C4D-82AD-462B-8E6A-FC05BA59F19B}" name="Station (ft)" dataDxfId="129"/>
    <tableColumn id="2" xr3:uid="{CD80F958-6AC4-4039-9EE7-E269CC1266C1}" name="Elevation (ft, local datum)" dataDxfId="128">
      <calculatedColumnFormula>C3</calculatedColumnFormula>
    </tableColumn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74A532C-8409-4864-914B-A45FD2BAB281}" name="TailCrest147" displayName="TailCrest147" ref="F1:I9" totalsRowShown="0" headerRowDxfId="127" dataDxfId="125" headerRowBorderDxfId="126" tableBorderDxfId="124">
  <autoFilter ref="F1:I9" xr:uid="{4F0CFC2D-9AE6-4341-A3E4-861367FED23E}"/>
  <tableColumns count="4">
    <tableColumn id="1" xr3:uid="{E56C7EE5-1FE5-4F48-A688-3033C02675A2}" name="Station (ft)" dataDxfId="123"/>
    <tableColumn id="2" xr3:uid="{A01D4F0E-8EE6-49EC-84AC-1793F746459B}" name="Survey Reading" dataDxfId="122"/>
    <tableColumn id="3" xr3:uid="{632969DC-B817-40AA-8F3E-A7BA0893C2AD}" name="Elevation (ft, local datum)" dataDxfId="121">
      <calculatedColumnFormula>$C$3-G2</calculatedColumnFormula>
    </tableColumn>
    <tableColumn id="4" xr3:uid="{5FC592A6-C73C-4AA9-AFA8-5B22F2563EB6}" name="Notes" dataDxfId="12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310CE30-333D-4220-AE50-2CEE771C5761}" name="General182" displayName="General182" ref="A1:D10" totalsRowShown="0" headerRowDxfId="119" dataDxfId="117" headerRowBorderDxfId="118" tableBorderDxfId="116">
  <autoFilter ref="A1:D10" xr:uid="{EDFF45E8-845E-44D3-9008-4FB9E05A35A3}"/>
  <tableColumns count="4">
    <tableColumn id="1" xr3:uid="{C84DF97A-30E8-4734-8BF4-C0E267CC036B}" name="Station" dataDxfId="115"/>
    <tableColumn id="2" xr3:uid="{42090E45-21AA-4DA5-9042-63C6D03FAFE7}" name="Survey Reading" dataDxfId="114"/>
    <tableColumn id="3" xr3:uid="{BAADD511-C5FE-43B4-9BD7-F11B2FF0BB2B}" name="Elevation (ft, local datum)" dataDxfId="113"/>
    <tableColumn id="4" xr3:uid="{7674EA1A-B024-4908-A74E-19A57461D74E}" name="Notes" dataDxfId="112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4216EA3-B25D-4C1D-9DE8-DD60BE218C1D}" name="TailCrest183" displayName="TailCrest183" ref="F1:I9" totalsRowShown="0" headerRowDxfId="111" dataDxfId="109" headerRowBorderDxfId="110" tableBorderDxfId="108">
  <autoFilter ref="F1:I9" xr:uid="{4F0CFC2D-9AE6-4341-A3E4-861367FED23E}"/>
  <tableColumns count="4">
    <tableColumn id="1" xr3:uid="{E71811E5-83C4-4E22-8892-65F5521C5961}" name="Station (ft)" dataDxfId="107"/>
    <tableColumn id="2" xr3:uid="{E1788D34-91B3-4EDA-A3A7-889C784B543C}" name="Survey Reading" dataDxfId="106"/>
    <tableColumn id="3" xr3:uid="{F826D7C9-631A-49A6-BFD5-C20C57D1BB21}" name="Elevation (ft, local datum)" dataDxfId="105">
      <calculatedColumnFormula>$C$3-G2</calculatedColumnFormula>
    </tableColumn>
    <tableColumn id="4" xr3:uid="{E49B8325-C83F-4C77-BAA8-EC863D4B4261}" name="Notes" dataDxfId="10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84B40A19-D30B-44F3-A7BD-54F0FD6F2331}" name="Upstream184" displayName="Upstream184" ref="K1:N9" totalsRowShown="0" headerRowDxfId="103" dataDxfId="101" headerRowBorderDxfId="102" tableBorderDxfId="100">
  <autoFilter ref="K1:N9" xr:uid="{73779CC0-1CA8-44D8-AA53-14B83D471DE8}"/>
  <tableColumns count="4">
    <tableColumn id="1" xr3:uid="{FCFDAD2C-5870-4D5C-A62A-369A1D9DF1D2}" name="Station (ft)" dataDxfId="99"/>
    <tableColumn id="2" xr3:uid="{8759853B-A17E-4A7D-BE34-E49827DCE6E9}" name="Survey Reading" dataDxfId="98"/>
    <tableColumn id="3" xr3:uid="{DDF44E6A-E00F-44C4-ACBD-C58ADEBDA9B5}" name="Elevation (ft, local datum)" dataDxfId="97">
      <calculatedColumnFormula>$C$3-L2</calculatedColumnFormula>
    </tableColumn>
    <tableColumn id="4" xr3:uid="{FFCA7ACA-65D3-4C69-951D-78D16F8F38AD}" name="Notes" dataDxfId="96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BAA1009-F410-47E3-9857-C55E5887A4A7}" name="LongPro185" displayName="LongPro185" ref="P1:Q7" totalsRowShown="0" headerRowDxfId="95" dataDxfId="93" headerRowBorderDxfId="94" tableBorderDxfId="92">
  <autoFilter ref="P1:Q7" xr:uid="{AE61B507-9B9F-4E87-86BC-A619036F36A9}"/>
  <tableColumns count="2">
    <tableColumn id="1" xr3:uid="{A3FE3958-91E0-45A9-BC62-BB951EFED6A0}" name="Station (ft)" dataDxfId="91"/>
    <tableColumn id="2" xr3:uid="{9EEB2294-4AE9-4B0F-AA05-21B99233767B}" name="Elevation (ft, local datum)" dataDxfId="90">
      <calculatedColumnFormula>M4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4C18E0C-914E-4D5F-99D1-99A8F0EF779E}" name="General222" displayName="General222" ref="A1:D10" totalsRowShown="0" headerRowDxfId="89" dataDxfId="87" headerRowBorderDxfId="88" tableBorderDxfId="86">
  <autoFilter ref="A1:D10" xr:uid="{EDFF45E8-845E-44D3-9008-4FB9E05A35A3}"/>
  <tableColumns count="4">
    <tableColumn id="1" xr3:uid="{DA8227F4-7446-41BD-94DD-B0C3097078AC}" name="Station" dataDxfId="85"/>
    <tableColumn id="2" xr3:uid="{4A05D4D0-D8B9-450E-A9D9-0B1365C70576}" name="Survey Reading" dataDxfId="84"/>
    <tableColumn id="3" xr3:uid="{2E2F1F3E-4DCD-4BAC-B3A4-D9D91565FF6C}" name="Elevation (ft, local datum)" dataDxfId="83"/>
    <tableColumn id="4" xr3:uid="{7D61876E-269B-4399-8B07-AC8D8D4E224C}" name="Notes" dataDxfId="82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8AE2DB97-3981-4D6B-88FF-5CDD01B515CB}" name="TailCrest223" displayName="TailCrest223" ref="F1:I9" totalsRowShown="0" headerRowDxfId="81" dataDxfId="79" headerRowBorderDxfId="80" tableBorderDxfId="78">
  <autoFilter ref="F1:I9" xr:uid="{4F0CFC2D-9AE6-4341-A3E4-861367FED23E}"/>
  <tableColumns count="4">
    <tableColumn id="1" xr3:uid="{2A5E40B0-5F65-47DD-AE84-C554FC81DBED}" name="Station (ft)" dataDxfId="77"/>
    <tableColumn id="2" xr3:uid="{29C2AD3C-0D88-43E2-B97D-6B9E10479771}" name="Survey Reading" dataDxfId="76"/>
    <tableColumn id="3" xr3:uid="{B370E538-77F4-4492-BC1F-FE4FA48792D2}" name="Elevation (ft, local datum)" dataDxfId="75">
      <calculatedColumnFormula>$C$3-G2</calculatedColumnFormula>
    </tableColumn>
    <tableColumn id="4" xr3:uid="{492CBDD3-A35E-4B1B-9F52-6D4B6C311A2A}" name="Notes" dataDxfId="74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481828E-91CC-4559-8442-08D29AE8C00F}" name="Upstream224" displayName="Upstream224" ref="K1:N9" totalsRowShown="0" headerRowDxfId="73" dataDxfId="71" headerRowBorderDxfId="72" tableBorderDxfId="70">
  <autoFilter ref="K1:N9" xr:uid="{73779CC0-1CA8-44D8-AA53-14B83D471DE8}"/>
  <tableColumns count="4">
    <tableColumn id="1" xr3:uid="{62CF0E20-B8F5-446A-B9CA-CC121CA86884}" name="Station (ft)" dataDxfId="69"/>
    <tableColumn id="2" xr3:uid="{847F9E3C-102B-406D-A1AA-0DED33F28C14}" name="Survey Reading" dataDxfId="68"/>
    <tableColumn id="3" xr3:uid="{D54B41AA-497E-4892-BCD7-D2AAB0B1483B}" name="Elevation (ft, local datum)" dataDxfId="67">
      <calculatedColumnFormula>$C$3-L2</calculatedColumnFormula>
    </tableColumn>
    <tableColumn id="4" xr3:uid="{044A515C-1CA7-43E5-8AD9-A8344B88E8AF}" name="Notes" dataDxfId="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C61718-38D3-4F19-976F-21EBCAF6A53A}" name="LongPro3713" displayName="LongPro3713" ref="P2:Q8" totalsRowShown="0" headerRowDxfId="335" dataDxfId="333" headerRowBorderDxfId="334" tableBorderDxfId="332">
  <autoFilter ref="P2:Q8" xr:uid="{3EC61718-38D3-4F19-976F-21EBCAF6A53A}"/>
  <tableColumns count="2">
    <tableColumn id="1" xr3:uid="{4A4A0406-DC5C-42FB-8FE1-083CAC0DBF2B}" name="Station (ft)" dataDxfId="331"/>
    <tableColumn id="2" xr3:uid="{2CC4BF4D-4AFC-46DE-AC97-E0697D48F942}" name="Elevation (ft, local datum)" dataDxfId="330">
      <calculatedColumnFormula>C4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2E8DBD26-5808-4AC8-AB88-557F6CE3FF00}" name="LongPro225" displayName="LongPro225" ref="P1:Q7" totalsRowShown="0" headerRowDxfId="65" dataDxfId="63" headerRowBorderDxfId="64" tableBorderDxfId="62">
  <autoFilter ref="P1:Q7" xr:uid="{AE61B507-9B9F-4E87-86BC-A619036F36A9}"/>
  <tableColumns count="2">
    <tableColumn id="1" xr3:uid="{F53EAED2-233D-4754-8CBE-701369479232}" name="Station (ft)" dataDxfId="61"/>
    <tableColumn id="2" xr3:uid="{2CD2FB3E-8489-4E54-9FCA-56A35D96BC59}" name="Elevation (ft, local datum)" dataDxfId="60">
      <calculatedColumnFormula>C3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5AEB4D42-02CA-4AE9-A4C7-D752005909A6}" name="General238" displayName="General238" ref="A1:D12" totalsRowShown="0" headerRowDxfId="59" dataDxfId="57" headerRowBorderDxfId="58" tableBorderDxfId="56">
  <autoFilter ref="A1:D12" xr:uid="{EDFF45E8-845E-44D3-9008-4FB9E05A35A3}"/>
  <tableColumns count="4">
    <tableColumn id="1" xr3:uid="{8FCAABE3-A788-4426-82D8-C54ABD4C17A6}" name="Station" dataDxfId="55"/>
    <tableColumn id="2" xr3:uid="{3D56F9B8-296A-4CC1-9656-789637285F4D}" name="Survey Reading" dataDxfId="54"/>
    <tableColumn id="3" xr3:uid="{3603DA87-7E0E-462A-ABEA-344F63AC07C6}" name="Elevation (ft, local datum)" dataDxfId="53"/>
    <tableColumn id="4" xr3:uid="{E5DB8619-21FB-4ED2-9CAA-E3B08DC26688}" name="Notes" dataDxfId="5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4DA29B8-B122-491B-A569-A28E0A164944}" name="TailCrest239" displayName="TailCrest239" ref="F1:I9" totalsRowShown="0" headerRowDxfId="51" dataDxfId="49" headerRowBorderDxfId="50" tableBorderDxfId="48">
  <autoFilter ref="F1:I9" xr:uid="{4F0CFC2D-9AE6-4341-A3E4-861367FED23E}"/>
  <tableColumns count="4">
    <tableColumn id="1" xr3:uid="{24C40AAF-B6F1-4616-A819-A869A1FE9EB9}" name="Station (ft)" dataDxfId="47"/>
    <tableColumn id="2" xr3:uid="{5E973114-6AE3-4203-A536-B48BC3215570}" name="Survey Reading" dataDxfId="46"/>
    <tableColumn id="3" xr3:uid="{F8EA33BB-E8BE-49EA-8D00-8FB4EF7B8B43}" name="Elevation (ft, local datum)" dataDxfId="45">
      <calculatedColumnFormula>$C$3-G2</calculatedColumnFormula>
    </tableColumn>
    <tableColumn id="4" xr3:uid="{5A11AD9C-BBF8-48AE-A58F-5FE85CDC4A05}" name="Notes" dataDxfId="44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2F193D2-CA68-4D43-ACB0-6EB6529FAEC1}" name="Upstream240" displayName="Upstream240" ref="K1:N9" totalsRowShown="0" headerRowDxfId="43" dataDxfId="41" headerRowBorderDxfId="42" tableBorderDxfId="40">
  <autoFilter ref="K1:N9" xr:uid="{73779CC0-1CA8-44D8-AA53-14B83D471DE8}"/>
  <tableColumns count="4">
    <tableColumn id="1" xr3:uid="{8ACADD93-E4E8-4F09-99E0-9C5BDEC2E34B}" name="Station (ft)" dataDxfId="39"/>
    <tableColumn id="2" xr3:uid="{E69054A1-5A5B-489E-8E6D-A98F2A1BD28B}" name="Survey Reading" dataDxfId="38"/>
    <tableColumn id="3" xr3:uid="{33FFC95C-18FD-4D6C-99A0-5B9549C2111D}" name="Elevation (ft, local datum)" dataDxfId="37">
      <calculatedColumnFormula>$C$3-L2</calculatedColumnFormula>
    </tableColumn>
    <tableColumn id="4" xr3:uid="{84415B56-39A5-4986-AB1D-5391B0EC32FC}" name="Notes" dataDxfId="36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3D45CB49-5226-40EA-BF66-AB9589E0FA68}" name="LongPro241" displayName="LongPro241" ref="P1:Q7" totalsRowShown="0" headerRowDxfId="35" dataDxfId="33" headerRowBorderDxfId="34" tableBorderDxfId="32">
  <autoFilter ref="P1:Q7" xr:uid="{AE61B507-9B9F-4E87-86BC-A619036F36A9}"/>
  <tableColumns count="2">
    <tableColumn id="1" xr3:uid="{CBD46357-E41D-4FC0-8C36-07B668D99674}" name="Station (ft)" dataDxfId="31"/>
    <tableColumn id="2" xr3:uid="{E3873FD9-AF8F-4A30-8595-38B14F6D3C76}" name="Elevation (ft, local datum)" dataDxfId="30">
      <calculatedColumnFormula>C3</calculatedColumnFormula>
    </tableColumn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A1CE949D-83C5-45B6-9D6C-D457D6CE6477}" name="General270" displayName="General270" ref="A1:D10" totalsRowShown="0" headerRowDxfId="29" dataDxfId="27" headerRowBorderDxfId="28" tableBorderDxfId="26">
  <autoFilter ref="A1:D10" xr:uid="{EDFF45E8-845E-44D3-9008-4FB9E05A35A3}"/>
  <tableColumns count="4">
    <tableColumn id="1" xr3:uid="{B39F24C1-E476-4DED-83AA-1475A87DA723}" name="Station" dataDxfId="25"/>
    <tableColumn id="2" xr3:uid="{1D40DDCF-55CA-41D9-A724-24D290DBAC66}" name="Survey Reading" dataDxfId="24"/>
    <tableColumn id="3" xr3:uid="{031685C5-495E-4932-B69D-1B77FD190494}" name="Elevation (ft, local datum)" dataDxfId="23"/>
    <tableColumn id="4" xr3:uid="{88DF66FE-07A6-46C2-891D-E4FBB735B1F6}" name="Notes" dataDxfId="2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30C751C6-FF03-4ED2-940B-E7538DA2A046}" name="TailCrest271" displayName="TailCrest271" ref="F1:I8" totalsRowShown="0" headerRowDxfId="21" dataDxfId="19" headerRowBorderDxfId="20" tableBorderDxfId="18">
  <autoFilter ref="F1:I8" xr:uid="{4F0CFC2D-9AE6-4341-A3E4-861367FED23E}"/>
  <tableColumns count="4">
    <tableColumn id="1" xr3:uid="{A1D38BD4-A8C9-43DB-A2B4-0FC4B2B919D2}" name="Station (ft)" dataDxfId="17"/>
    <tableColumn id="2" xr3:uid="{42D1E050-4573-4ED6-B4D5-0876327D7EA7}" name="Survey Reading" dataDxfId="16"/>
    <tableColumn id="3" xr3:uid="{B61C740B-B35C-43EF-9728-7A2EB4AF6477}" name="Elevation (ft, local datum)" dataDxfId="15">
      <calculatedColumnFormula>$C$3-G2</calculatedColumnFormula>
    </tableColumn>
    <tableColumn id="4" xr3:uid="{8878A7C8-40FA-43B7-A25D-95FB9134153A}" name="Notes" dataDxfId="14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C20085C3-DB34-4FBF-AB6C-FCC0EA469B0F}" name="Upstream272" displayName="Upstream272" ref="K1:N8" totalsRowShown="0" headerRowDxfId="13" dataDxfId="11" headerRowBorderDxfId="12" tableBorderDxfId="10">
  <autoFilter ref="K1:N8" xr:uid="{73779CC0-1CA8-44D8-AA53-14B83D471DE8}"/>
  <tableColumns count="4">
    <tableColumn id="1" xr3:uid="{9F6F4072-0BFA-46CC-ABCB-954594532F89}" name="Station (ft)" dataDxfId="9"/>
    <tableColumn id="2" xr3:uid="{5C49495E-AE69-4CBB-A759-56C7AEC4EAC8}" name="Survey Reading" dataDxfId="8"/>
    <tableColumn id="3" xr3:uid="{2CF3FB1B-8998-4CAE-ACDF-B17BA9047217}" name="Elevation (ft, local datum)" dataDxfId="7">
      <calculatedColumnFormula>$C$3-L2</calculatedColumnFormula>
    </tableColumn>
    <tableColumn id="4" xr3:uid="{C6AF408D-045D-4ADA-A430-03F6AD591AA8}" name="Notes" dataDxfId="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9B1CFF0-5333-4FC3-8B2B-26088B902FE3}" name="Table25" displayName="Table25" ref="P1:Q8" totalsRowShown="0" headerRowDxfId="5" dataDxfId="3" headerRowBorderDxfId="4" tableBorderDxfId="2">
  <autoFilter ref="P1:Q8" xr:uid="{E9B1CFF0-5333-4FC3-8B2B-26088B902FE3}"/>
  <tableColumns count="2">
    <tableColumn id="1" xr3:uid="{06FEEC06-1A87-4F68-957F-D8839F02E9A6}" name="Station (ft)" dataDxfId="1"/>
    <tableColumn id="2" xr3:uid="{5EC66F03-06C3-426B-BD84-0F18ABFF3AD0}" name="Elevation (ft, local datum)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7061C0-6EBA-4FA1-B9F0-64431F841CB2}" name="General22" displayName="General22" ref="A1:D12" totalsRowShown="0" headerRowDxfId="329" dataDxfId="327" headerRowBorderDxfId="328" tableBorderDxfId="326">
  <autoFilter ref="A1:D12" xr:uid="{EDFF45E8-845E-44D3-9008-4FB9E05A35A3}"/>
  <tableColumns count="4">
    <tableColumn id="1" xr3:uid="{1B1FEB2C-657C-4535-B746-ADB49DC2DC11}" name="Station" dataDxfId="325"/>
    <tableColumn id="2" xr3:uid="{ED39081D-13F6-42EF-9C37-ED730A7F2149}" name="Survey Reading" dataDxfId="324"/>
    <tableColumn id="3" xr3:uid="{C1397381-BE37-4A61-89CD-DC287B3ADB31}" name="Elevation (ft, local datum)" dataDxfId="323"/>
    <tableColumn id="4" xr3:uid="{88AC6DD3-D8A3-4290-9BFC-2237DBB36A00}" name="Notes" dataDxfId="3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876F0A6-0E43-4800-B7B8-78905FB1E04C}" name="TailCrest23" displayName="TailCrest23" ref="F1:I8" totalsRowShown="0" headerRowDxfId="321" dataDxfId="319" headerRowBorderDxfId="320" tableBorderDxfId="318">
  <autoFilter ref="F1:I8" xr:uid="{4F0CFC2D-9AE6-4341-A3E4-861367FED23E}"/>
  <tableColumns count="4">
    <tableColumn id="1" xr3:uid="{818601C7-6936-4B23-82F2-7C422CCB0DED}" name="Station (ft)" dataDxfId="317"/>
    <tableColumn id="2" xr3:uid="{B9C30D7E-618D-408E-9EEC-FF5D9ED7B757}" name="Survey Reading" dataDxfId="316"/>
    <tableColumn id="3" xr3:uid="{62B9A465-6AEC-4146-AB0A-A6BC7A5D06BA}" name="Elevation (ft, local datum)" dataDxfId="315">
      <calculatedColumnFormula>$C$3-G2</calculatedColumnFormula>
    </tableColumn>
    <tableColumn id="4" xr3:uid="{32A0AFC4-DC97-4CEF-BCC7-E9A4BF5069D5}" name="Notes" dataDxfId="3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4119C1-0091-40FA-B2BF-B214FBDE71E0}" name="Upstream24" displayName="Upstream24" ref="K1:N8" totalsRowShown="0" headerRowDxfId="313" dataDxfId="311" headerRowBorderDxfId="312" tableBorderDxfId="310">
  <autoFilter ref="K1:N8" xr:uid="{73779CC0-1CA8-44D8-AA53-14B83D471DE8}"/>
  <tableColumns count="4">
    <tableColumn id="1" xr3:uid="{8150D8EF-134A-4AD2-8C2F-18F159609AA0}" name="Station (ft)" dataDxfId="309"/>
    <tableColumn id="2" xr3:uid="{CD5BBCF8-2E78-4711-9CB6-9788C31D536D}" name="Survey Reading" dataDxfId="308"/>
    <tableColumn id="3" xr3:uid="{1A68E932-D771-4541-ADE6-112737D0A78B}" name="Elevation (ft, local datum)" dataDxfId="307">
      <calculatedColumnFormula>$C$3-L2</calculatedColumnFormula>
    </tableColumn>
    <tableColumn id="4" xr3:uid="{563AA5C3-3274-4597-B36F-91EDB3A6B0F6}" name="Notes" dataDxfId="30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3A418E-3ABD-495A-A47D-BC44729D84B3}" name="LongPro25" displayName="LongPro25" ref="P1:Q7" totalsRowShown="0" headerRowDxfId="305" dataDxfId="303" headerRowBorderDxfId="304" tableBorderDxfId="302">
  <autoFilter ref="P1:Q7" xr:uid="{AE61B507-9B9F-4E87-86BC-A619036F36A9}"/>
  <tableColumns count="2">
    <tableColumn id="1" xr3:uid="{41D951A4-FBB5-42FC-A4B1-20CDDA14D386}" name="Station (ft)" dataDxfId="301"/>
    <tableColumn id="2" xr3:uid="{037226A8-CAEE-4CB0-B8B7-66A15FB58684}" name="Elevation (ft, local datum)" dataDxfId="300">
      <calculatedColumnFormula>C3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C2CA083-D9F8-4E72-A021-421FE75BB0EA}" name="General34" displayName="General34" ref="A1:D12" totalsRowShown="0" headerRowDxfId="299" dataDxfId="297" headerRowBorderDxfId="298" tableBorderDxfId="296">
  <autoFilter ref="A1:D12" xr:uid="{EDFF45E8-845E-44D3-9008-4FB9E05A35A3}"/>
  <tableColumns count="4">
    <tableColumn id="1" xr3:uid="{F71A26F8-EFB4-4DDE-9E70-5A635E6BC272}" name="Station" dataDxfId="295"/>
    <tableColumn id="2" xr3:uid="{A3598D26-C581-46BE-A351-71BFF9F95351}" name="Survey Reading" dataDxfId="294"/>
    <tableColumn id="3" xr3:uid="{9CF2B602-353B-4A27-BE19-C442F413FCD8}" name="Elevation (ft, local datum)" dataDxfId="293"/>
    <tableColumn id="4" xr3:uid="{C0C09233-4D3A-4CCA-A49C-31F40B5D0688}" name="Notes" dataDxfId="2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drawing" Target="../drawings/drawing10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drawing" Target="../drawings/drawing11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drawing" Target="../drawings/drawing12.xml"/><Relationship Id="rId5" Type="http://schemas.openxmlformats.org/officeDocument/2006/relationships/table" Target="../tables/table48.xml"/><Relationship Id="rId4" Type="http://schemas.openxmlformats.org/officeDocument/2006/relationships/table" Target="../tables/table4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4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5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drawing" Target="../drawings/drawing6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7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drawing" Target="../drawings/drawing8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drawing" Target="../drawings/drawing9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CDAF-B107-4E4D-98EA-091ECA74C7D4}">
  <dimension ref="A1:Q13"/>
  <sheetViews>
    <sheetView tabSelected="1" workbookViewId="0">
      <selection activeCell="A2" sqref="A2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3.710937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3.85546875" style="2" customWidth="1"/>
    <col min="9" max="9" width="22.5703125" style="2" bestFit="1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85546875" style="2" customWidth="1"/>
    <col min="18" max="16384" width="9.140625" style="2"/>
  </cols>
  <sheetData>
    <row r="1" spans="1:17" x14ac:dyDescent="0.25">
      <c r="A1" s="31" t="s">
        <v>45</v>
      </c>
    </row>
    <row r="2" spans="1:17" s="14" customFormat="1" ht="30" x14ac:dyDescent="0.25">
      <c r="A2" s="13" t="s">
        <v>23</v>
      </c>
      <c r="B2" s="13" t="s">
        <v>22</v>
      </c>
      <c r="C2" s="13" t="s">
        <v>34</v>
      </c>
      <c r="D2" s="13" t="s">
        <v>20</v>
      </c>
      <c r="F2" s="10" t="s">
        <v>39</v>
      </c>
      <c r="G2" s="10" t="s">
        <v>22</v>
      </c>
      <c r="H2" s="13" t="s">
        <v>34</v>
      </c>
      <c r="I2" s="10" t="s">
        <v>20</v>
      </c>
      <c r="K2" s="10" t="s">
        <v>39</v>
      </c>
      <c r="L2" s="10" t="s">
        <v>22</v>
      </c>
      <c r="M2" s="13" t="s">
        <v>34</v>
      </c>
      <c r="N2" s="10" t="s">
        <v>20</v>
      </c>
      <c r="P2" s="10" t="s">
        <v>39</v>
      </c>
      <c r="Q2" s="13" t="s">
        <v>34</v>
      </c>
    </row>
    <row r="3" spans="1:17" x14ac:dyDescent="0.25">
      <c r="A3" s="2" t="s">
        <v>19</v>
      </c>
      <c r="B3" s="2">
        <v>4.49</v>
      </c>
      <c r="C3" s="2">
        <v>100</v>
      </c>
      <c r="F3" s="11" t="s">
        <v>11</v>
      </c>
      <c r="G3" s="12"/>
      <c r="H3" s="12"/>
      <c r="I3" s="15"/>
      <c r="K3" s="11" t="s">
        <v>8</v>
      </c>
      <c r="L3" s="12"/>
      <c r="M3" s="12"/>
      <c r="N3" s="15"/>
      <c r="P3" s="11" t="s">
        <v>2</v>
      </c>
      <c r="Q3" s="12"/>
    </row>
    <row r="4" spans="1:17" x14ac:dyDescent="0.25">
      <c r="A4" s="2" t="s">
        <v>18</v>
      </c>
      <c r="C4" s="2">
        <f>(C3+B3)</f>
        <v>104.49</v>
      </c>
      <c r="F4" s="2">
        <v>0</v>
      </c>
      <c r="G4" s="2">
        <v>13.34</v>
      </c>
      <c r="H4" s="16">
        <f>$C$4-G4</f>
        <v>91.149999999999991</v>
      </c>
      <c r="I4" s="2" t="s">
        <v>10</v>
      </c>
      <c r="K4" s="2">
        <v>0</v>
      </c>
      <c r="L4" s="2">
        <v>7.05</v>
      </c>
      <c r="M4" s="16">
        <f>$C$4-L4</f>
        <v>97.44</v>
      </c>
      <c r="N4" s="2" t="s">
        <v>7</v>
      </c>
      <c r="P4" s="2">
        <v>0</v>
      </c>
      <c r="Q4" s="16">
        <f>M7</f>
        <v>91.759999999999991</v>
      </c>
    </row>
    <row r="5" spans="1:17" x14ac:dyDescent="0.25">
      <c r="A5" s="2" t="s">
        <v>17</v>
      </c>
      <c r="B5" s="2">
        <v>9.8800000000000008</v>
      </c>
      <c r="C5" s="2">
        <f t="shared" ref="C5:C10" si="0">$C$4-B5</f>
        <v>94.61</v>
      </c>
      <c r="F5" s="2">
        <v>10</v>
      </c>
      <c r="G5" s="2">
        <v>14.83</v>
      </c>
      <c r="H5" s="16">
        <f>$C$4-G5</f>
        <v>89.66</v>
      </c>
      <c r="I5" s="2" t="s">
        <v>6</v>
      </c>
      <c r="K5" s="2">
        <v>3</v>
      </c>
      <c r="L5" s="2">
        <v>11.37</v>
      </c>
      <c r="M5" s="16">
        <f>$C$4-L5</f>
        <v>93.11999999999999</v>
      </c>
      <c r="P5" s="2">
        <f>L11</f>
        <v>34</v>
      </c>
      <c r="Q5" s="16">
        <f>C6</f>
        <v>89.149999999999991</v>
      </c>
    </row>
    <row r="6" spans="1:17" x14ac:dyDescent="0.25">
      <c r="A6" s="2" t="s">
        <v>16</v>
      </c>
      <c r="B6" s="2">
        <v>15.34</v>
      </c>
      <c r="C6" s="2">
        <f>$C$4-B6</f>
        <v>89.149999999999991</v>
      </c>
      <c r="F6" s="2">
        <v>17</v>
      </c>
      <c r="G6" s="2">
        <v>15.36</v>
      </c>
      <c r="H6" s="16">
        <f>$C$4-G6</f>
        <v>89.13</v>
      </c>
      <c r="I6" s="2" t="s">
        <v>5</v>
      </c>
      <c r="K6" s="2">
        <v>6</v>
      </c>
      <c r="L6" s="2">
        <v>12.08</v>
      </c>
      <c r="M6" s="16">
        <f>$C$4-L6</f>
        <v>92.41</v>
      </c>
      <c r="N6" s="2" t="s">
        <v>6</v>
      </c>
      <c r="P6" s="2">
        <f>P5+B12</f>
        <v>59</v>
      </c>
      <c r="Q6" s="16">
        <f>C8</f>
        <v>88.899999999999991</v>
      </c>
    </row>
    <row r="7" spans="1:17" x14ac:dyDescent="0.25">
      <c r="A7" s="2" t="s">
        <v>15</v>
      </c>
      <c r="B7" s="2">
        <v>10.58</v>
      </c>
      <c r="C7" s="2">
        <f t="shared" si="0"/>
        <v>93.91</v>
      </c>
      <c r="F7" s="2">
        <v>22</v>
      </c>
      <c r="G7" s="2">
        <v>14.74</v>
      </c>
      <c r="H7" s="16">
        <f>$C$4-G7</f>
        <v>89.75</v>
      </c>
      <c r="I7" s="2" t="s">
        <v>9</v>
      </c>
      <c r="K7" s="2">
        <v>17</v>
      </c>
      <c r="L7" s="2">
        <v>12.73</v>
      </c>
      <c r="M7" s="16">
        <f>$C$4-L7</f>
        <v>91.759999999999991</v>
      </c>
      <c r="N7" s="2" t="s">
        <v>5</v>
      </c>
      <c r="P7" s="2">
        <f>P6+G10</f>
        <v>74</v>
      </c>
      <c r="Q7" s="16">
        <f>H6</f>
        <v>89.13</v>
      </c>
    </row>
    <row r="8" spans="1:17" x14ac:dyDescent="0.25">
      <c r="A8" s="2" t="s">
        <v>14</v>
      </c>
      <c r="B8" s="2">
        <v>15.59</v>
      </c>
      <c r="C8" s="2">
        <f>$C$4-B8</f>
        <v>88.899999999999991</v>
      </c>
      <c r="F8" s="2">
        <v>30</v>
      </c>
      <c r="G8" s="2">
        <v>13.78</v>
      </c>
      <c r="H8" s="17">
        <f>$C$4-G8</f>
        <v>90.71</v>
      </c>
      <c r="I8" s="2" t="s">
        <v>3</v>
      </c>
      <c r="K8" s="2">
        <v>22</v>
      </c>
      <c r="L8" s="2">
        <v>12.28</v>
      </c>
      <c r="M8" s="16">
        <f t="shared" ref="M8:M9" si="1">$C$4-L8</f>
        <v>92.21</v>
      </c>
      <c r="N8" s="2" t="s">
        <v>4</v>
      </c>
      <c r="Q8" s="16"/>
    </row>
    <row r="9" spans="1:17" x14ac:dyDescent="0.25">
      <c r="A9" s="2" t="s">
        <v>13</v>
      </c>
      <c r="B9" s="2">
        <v>15.71</v>
      </c>
      <c r="C9" s="2">
        <f t="shared" si="0"/>
        <v>88.78</v>
      </c>
      <c r="F9" s="3"/>
      <c r="G9" s="17"/>
      <c r="H9" s="17"/>
      <c r="I9" s="3"/>
      <c r="K9" s="2">
        <v>24</v>
      </c>
      <c r="L9" s="2">
        <v>10.41</v>
      </c>
      <c r="M9" s="16">
        <f t="shared" si="1"/>
        <v>94.08</v>
      </c>
      <c r="N9" s="2" t="s">
        <v>3</v>
      </c>
    </row>
    <row r="10" spans="1:17" x14ac:dyDescent="0.25">
      <c r="A10" s="2" t="s">
        <v>12</v>
      </c>
      <c r="B10" s="2">
        <v>15.13</v>
      </c>
      <c r="C10" s="2">
        <f t="shared" si="0"/>
        <v>89.36</v>
      </c>
      <c r="F10" s="3" t="s">
        <v>37</v>
      </c>
      <c r="G10" s="17">
        <v>15</v>
      </c>
      <c r="H10" s="17"/>
      <c r="I10" s="18"/>
      <c r="K10" s="3"/>
      <c r="L10" s="17"/>
      <c r="M10" s="17"/>
      <c r="N10" s="18"/>
    </row>
    <row r="11" spans="1:17" x14ac:dyDescent="0.25">
      <c r="K11" s="3" t="s">
        <v>38</v>
      </c>
      <c r="L11" s="17">
        <v>34</v>
      </c>
      <c r="M11" s="17"/>
      <c r="N11" s="18"/>
    </row>
    <row r="12" spans="1:17" x14ac:dyDescent="0.25">
      <c r="A12" s="2" t="s">
        <v>1</v>
      </c>
      <c r="B12" s="2">
        <v>25</v>
      </c>
    </row>
    <row r="13" spans="1:17" x14ac:dyDescent="0.25">
      <c r="A13" s="2" t="s">
        <v>0</v>
      </c>
      <c r="B13" s="1">
        <f>(C6-C8)/B12</f>
        <v>0.01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BDB2-A0A5-4FF1-9077-92E66A9A1FCB}">
  <dimension ref="A1:Q10"/>
  <sheetViews>
    <sheetView workbookViewId="0">
      <selection activeCell="T21" sqref="T21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5" style="2" customWidth="1"/>
    <col min="4" max="4" width="13.28515625" style="2" bestFit="1" customWidth="1"/>
    <col min="5" max="5" width="2" style="2" customWidth="1"/>
    <col min="6" max="6" width="21.7109375" style="2" bestFit="1" customWidth="1"/>
    <col min="7" max="7" width="11.7109375" style="2" customWidth="1"/>
    <col min="8" max="8" width="13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4.4257812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425781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2.1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102.1</v>
      </c>
      <c r="F3" s="4">
        <v>2</v>
      </c>
      <c r="G3" s="16">
        <v>16</v>
      </c>
      <c r="H3" s="16">
        <f>$C$3-G3</f>
        <v>86.1</v>
      </c>
      <c r="I3" s="19" t="s">
        <v>7</v>
      </c>
      <c r="K3" s="4">
        <v>0</v>
      </c>
      <c r="L3" s="16">
        <v>4.45</v>
      </c>
      <c r="M3" s="16">
        <f>$C$3-L3</f>
        <v>97.649999999999991</v>
      </c>
      <c r="N3" s="19" t="s">
        <v>40</v>
      </c>
      <c r="P3" s="4">
        <v>0</v>
      </c>
      <c r="Q3" s="16">
        <f>M5</f>
        <v>95.24</v>
      </c>
    </row>
    <row r="4" spans="1:17" x14ac:dyDescent="0.25">
      <c r="A4" s="2" t="s">
        <v>17</v>
      </c>
      <c r="B4" s="2">
        <v>5.2</v>
      </c>
      <c r="C4" s="2">
        <f t="shared" ref="C4:C7" si="0">$C$3-B4</f>
        <v>96.899999999999991</v>
      </c>
      <c r="F4" s="4">
        <v>3</v>
      </c>
      <c r="G4" s="16">
        <v>17.350000000000001</v>
      </c>
      <c r="H4" s="16">
        <f>$C$3-G4</f>
        <v>84.75</v>
      </c>
      <c r="I4" s="19" t="s">
        <v>25</v>
      </c>
      <c r="K4" s="4">
        <v>2</v>
      </c>
      <c r="L4" s="16">
        <v>5.45</v>
      </c>
      <c r="M4" s="16">
        <f>$C$3-L4</f>
        <v>96.649999999999991</v>
      </c>
      <c r="N4" s="19"/>
      <c r="P4" s="4">
        <f>L9</f>
        <v>15</v>
      </c>
      <c r="Q4" s="16">
        <f>C5</f>
        <v>91.07</v>
      </c>
    </row>
    <row r="5" spans="1:17" x14ac:dyDescent="0.25">
      <c r="A5" s="2" t="s">
        <v>16</v>
      </c>
      <c r="B5" s="2">
        <v>11.03</v>
      </c>
      <c r="C5" s="2">
        <f t="shared" si="0"/>
        <v>91.07</v>
      </c>
      <c r="F5" s="4">
        <v>7</v>
      </c>
      <c r="G5" s="16">
        <v>18.14</v>
      </c>
      <c r="H5" s="16">
        <f>$C$3-G5</f>
        <v>83.96</v>
      </c>
      <c r="I5" s="19" t="s">
        <v>5</v>
      </c>
      <c r="K5" s="4">
        <v>10</v>
      </c>
      <c r="L5" s="16">
        <v>6.86</v>
      </c>
      <c r="M5" s="16">
        <f>$C$3-L5</f>
        <v>95.24</v>
      </c>
      <c r="N5" s="19" t="s">
        <v>5</v>
      </c>
      <c r="P5" s="4">
        <f>P4+B9</f>
        <v>40</v>
      </c>
      <c r="Q5" s="16">
        <f>C7</f>
        <v>86.699999999999989</v>
      </c>
    </row>
    <row r="6" spans="1:17" x14ac:dyDescent="0.25">
      <c r="A6" s="2" t="s">
        <v>15</v>
      </c>
      <c r="B6" s="2">
        <v>10.08</v>
      </c>
      <c r="C6" s="2">
        <f t="shared" si="0"/>
        <v>92.02</v>
      </c>
      <c r="F6" s="4">
        <v>9</v>
      </c>
      <c r="G6" s="16">
        <v>17.399999999999999</v>
      </c>
      <c r="H6" s="16">
        <f>$C$3-G6</f>
        <v>84.699999999999989</v>
      </c>
      <c r="I6" s="19" t="s">
        <v>4</v>
      </c>
      <c r="K6" s="4">
        <v>12</v>
      </c>
      <c r="L6" s="16">
        <v>6.69</v>
      </c>
      <c r="M6" s="16">
        <f>$C$3-L6</f>
        <v>95.41</v>
      </c>
      <c r="N6" s="19" t="s">
        <v>42</v>
      </c>
      <c r="P6" s="4">
        <f>P5+G9</f>
        <v>47</v>
      </c>
      <c r="Q6" s="16">
        <f>H5</f>
        <v>83.96</v>
      </c>
    </row>
    <row r="7" spans="1:17" x14ac:dyDescent="0.25">
      <c r="A7" s="2" t="s">
        <v>14</v>
      </c>
      <c r="B7" s="2">
        <v>15.4</v>
      </c>
      <c r="C7" s="2">
        <f t="shared" si="0"/>
        <v>86.699999999999989</v>
      </c>
      <c r="F7" s="3">
        <v>10</v>
      </c>
      <c r="G7" s="17">
        <v>15.5</v>
      </c>
      <c r="H7" s="17">
        <f>$C$3-G7</f>
        <v>86.6</v>
      </c>
      <c r="I7" s="18" t="s">
        <v>27</v>
      </c>
      <c r="K7" s="4">
        <v>14</v>
      </c>
      <c r="L7" s="16">
        <v>4.45</v>
      </c>
      <c r="M7" s="16">
        <f>$C$3-L7</f>
        <v>97.649999999999991</v>
      </c>
      <c r="N7" s="18" t="s">
        <v>41</v>
      </c>
      <c r="P7" s="3"/>
      <c r="Q7" s="17"/>
    </row>
    <row r="8" spans="1:17" x14ac:dyDescent="0.25">
      <c r="F8" s="3"/>
      <c r="G8" s="17"/>
      <c r="H8" s="17"/>
      <c r="I8" s="18" t="s">
        <v>30</v>
      </c>
      <c r="K8" s="3"/>
      <c r="L8" s="17"/>
      <c r="M8" s="17"/>
      <c r="N8" s="18"/>
    </row>
    <row r="9" spans="1:17" x14ac:dyDescent="0.25">
      <c r="A9" s="2" t="s">
        <v>1</v>
      </c>
      <c r="B9" s="2">
        <v>25</v>
      </c>
      <c r="F9" s="3" t="s">
        <v>37</v>
      </c>
      <c r="G9" s="17">
        <v>7</v>
      </c>
      <c r="H9" s="17"/>
      <c r="I9" s="18"/>
      <c r="K9" s="3" t="s">
        <v>38</v>
      </c>
      <c r="L9" s="17">
        <v>15</v>
      </c>
      <c r="M9" s="17"/>
      <c r="N9" s="18"/>
    </row>
    <row r="10" spans="1:17" x14ac:dyDescent="0.25">
      <c r="A10" s="2" t="s">
        <v>0</v>
      </c>
      <c r="B10" s="1">
        <f>(C5-C7)/B9</f>
        <v>0.17480000000000018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D5A7-DC47-42B9-ABF6-320A83A5D092}">
  <dimension ref="A1:Q12"/>
  <sheetViews>
    <sheetView workbookViewId="0">
      <selection activeCell="K33" sqref="K33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5.4257812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4.2851562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3.570312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1406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2.52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102.52</v>
      </c>
      <c r="F3" s="4">
        <v>2</v>
      </c>
      <c r="G3" s="16">
        <v>7.75</v>
      </c>
      <c r="H3" s="16">
        <f>$C$3-G3</f>
        <v>94.77</v>
      </c>
      <c r="I3" s="19" t="s">
        <v>7</v>
      </c>
      <c r="K3" s="4">
        <v>1</v>
      </c>
      <c r="L3" s="16">
        <v>6.4</v>
      </c>
      <c r="M3" s="16">
        <f>$C$3-L3</f>
        <v>96.11999999999999</v>
      </c>
      <c r="N3" s="19" t="s">
        <v>27</v>
      </c>
      <c r="P3" s="4">
        <v>0</v>
      </c>
      <c r="Q3" s="16">
        <f>M5</f>
        <v>95.32</v>
      </c>
    </row>
    <row r="4" spans="1:17" x14ac:dyDescent="0.25">
      <c r="A4" s="2" t="s">
        <v>17</v>
      </c>
      <c r="B4" s="2">
        <v>4.84</v>
      </c>
      <c r="C4" s="2">
        <f t="shared" ref="C4:C8" si="0">$C$3-B4</f>
        <v>97.679999999999993</v>
      </c>
      <c r="F4" s="4">
        <v>3</v>
      </c>
      <c r="G4" s="16">
        <v>9.4700000000000006</v>
      </c>
      <c r="H4" s="16">
        <f>$C$3-G4</f>
        <v>93.05</v>
      </c>
      <c r="I4" s="19"/>
      <c r="K4" s="4">
        <v>4</v>
      </c>
      <c r="L4" s="16">
        <v>6.66</v>
      </c>
      <c r="M4" s="16">
        <f>$C$3-L4</f>
        <v>95.86</v>
      </c>
      <c r="N4" s="19"/>
      <c r="P4" s="4">
        <f>L9</f>
        <v>16</v>
      </c>
      <c r="Q4" s="16">
        <f>C5</f>
        <v>94.75</v>
      </c>
    </row>
    <row r="5" spans="1:17" x14ac:dyDescent="0.25">
      <c r="A5" s="2" t="s">
        <v>16</v>
      </c>
      <c r="B5" s="2">
        <v>7.77</v>
      </c>
      <c r="C5" s="2">
        <f t="shared" si="0"/>
        <v>94.75</v>
      </c>
      <c r="F5" s="4">
        <v>7</v>
      </c>
      <c r="G5" s="16">
        <v>10.36</v>
      </c>
      <c r="H5" s="16">
        <f>$C$3-G5</f>
        <v>92.16</v>
      </c>
      <c r="I5" s="19" t="s">
        <v>5</v>
      </c>
      <c r="K5" s="4">
        <v>9</v>
      </c>
      <c r="L5" s="16">
        <v>7.2</v>
      </c>
      <c r="M5" s="16">
        <f>$C$3-L5</f>
        <v>95.32</v>
      </c>
      <c r="N5" s="19" t="s">
        <v>5</v>
      </c>
      <c r="P5" s="4">
        <f>P4+B11</f>
        <v>42</v>
      </c>
      <c r="Q5" s="16">
        <f>C7</f>
        <v>93.22</v>
      </c>
    </row>
    <row r="6" spans="1:17" x14ac:dyDescent="0.25">
      <c r="A6" s="2" t="s">
        <v>15</v>
      </c>
      <c r="B6" s="2">
        <v>6.24</v>
      </c>
      <c r="C6" s="2">
        <f t="shared" si="0"/>
        <v>96.28</v>
      </c>
      <c r="F6" s="4">
        <v>10</v>
      </c>
      <c r="G6" s="16">
        <v>9.6999999999999993</v>
      </c>
      <c r="H6" s="16">
        <f>$C$3-G6</f>
        <v>92.82</v>
      </c>
      <c r="I6" s="19"/>
      <c r="K6" s="4">
        <v>11</v>
      </c>
      <c r="L6" s="16">
        <v>7.2</v>
      </c>
      <c r="M6" s="16">
        <f>$C$3-L6</f>
        <v>95.32</v>
      </c>
      <c r="N6" s="19"/>
      <c r="P6" s="4">
        <f>P5+G9</f>
        <v>54</v>
      </c>
      <c r="Q6" s="16">
        <f>H5</f>
        <v>92.16</v>
      </c>
    </row>
    <row r="7" spans="1:17" x14ac:dyDescent="0.25">
      <c r="A7" s="2" t="s">
        <v>14</v>
      </c>
      <c r="B7" s="2">
        <v>9.3000000000000007</v>
      </c>
      <c r="C7" s="2">
        <f t="shared" si="0"/>
        <v>93.22</v>
      </c>
      <c r="F7" s="3">
        <v>11</v>
      </c>
      <c r="G7" s="17">
        <v>8.42</v>
      </c>
      <c r="H7" s="17">
        <f>$C$3-G7</f>
        <v>94.1</v>
      </c>
      <c r="I7" s="18" t="s">
        <v>27</v>
      </c>
      <c r="K7" s="4">
        <v>13</v>
      </c>
      <c r="L7" s="16">
        <v>6.44</v>
      </c>
      <c r="M7" s="16">
        <f>$C$3-L7</f>
        <v>96.08</v>
      </c>
      <c r="N7" s="18" t="s">
        <v>7</v>
      </c>
      <c r="P7" s="3"/>
      <c r="Q7" s="17"/>
    </row>
    <row r="8" spans="1:17" x14ac:dyDescent="0.25">
      <c r="A8" s="2" t="s">
        <v>13</v>
      </c>
      <c r="B8" s="2">
        <v>10.35</v>
      </c>
      <c r="C8" s="2">
        <f t="shared" si="0"/>
        <v>92.17</v>
      </c>
      <c r="F8" s="3"/>
      <c r="G8" s="17"/>
      <c r="H8" s="17"/>
      <c r="I8" s="18"/>
      <c r="K8" s="3"/>
      <c r="L8" s="17"/>
      <c r="M8" s="17"/>
      <c r="N8" s="18"/>
    </row>
    <row r="9" spans="1:17" x14ac:dyDescent="0.25">
      <c r="F9" s="3" t="s">
        <v>37</v>
      </c>
      <c r="G9" s="17">
        <v>12</v>
      </c>
      <c r="H9" s="17"/>
      <c r="I9" s="18"/>
      <c r="K9" s="3" t="s">
        <v>38</v>
      </c>
      <c r="L9" s="17">
        <v>16</v>
      </c>
      <c r="M9" s="17"/>
      <c r="N9" s="18"/>
    </row>
    <row r="11" spans="1:17" x14ac:dyDescent="0.25">
      <c r="A11" s="2" t="s">
        <v>1</v>
      </c>
      <c r="B11" s="2">
        <v>26</v>
      </c>
    </row>
    <row r="12" spans="1:17" x14ac:dyDescent="0.25">
      <c r="A12" s="2" t="s">
        <v>0</v>
      </c>
      <c r="B12" s="1">
        <f>(C5-C7)/B11</f>
        <v>5.8846153846153888E-2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A2F4-04CC-40FD-8B2B-91C7773DE227}">
  <dimension ref="A1:Q10"/>
  <sheetViews>
    <sheetView workbookViewId="0">
      <selection activeCell="F10" sqref="F10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8554687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6.28515625" style="2" bestFit="1" customWidth="1"/>
    <col min="8" max="8" width="13.42578125" style="2" customWidth="1"/>
    <col min="9" max="9" width="11" style="2" customWidth="1"/>
    <col min="10" max="10" width="2.140625" style="2" customWidth="1"/>
    <col min="11" max="11" width="22.28515625" style="2" bestFit="1" customWidth="1"/>
    <col min="12" max="12" width="12.5703125" style="2" customWidth="1"/>
    <col min="13" max="13" width="13.85546875" style="2" customWidth="1"/>
    <col min="14" max="14" width="11" style="2" customWidth="1"/>
    <col min="15" max="15" width="2.5703125" style="2" customWidth="1"/>
    <col min="16" max="16" width="12.7109375" style="2" customWidth="1"/>
    <col min="17" max="17" width="16.1406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28" t="s">
        <v>39</v>
      </c>
      <c r="Q1" s="28" t="s">
        <v>34</v>
      </c>
    </row>
    <row r="2" spans="1:17" x14ac:dyDescent="0.25">
      <c r="A2" s="2" t="s">
        <v>19</v>
      </c>
      <c r="B2" s="2">
        <v>3.53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25" t="s">
        <v>2</v>
      </c>
      <c r="Q2" s="26"/>
    </row>
    <row r="3" spans="1:17" x14ac:dyDescent="0.25">
      <c r="A3" s="2" t="s">
        <v>18</v>
      </c>
      <c r="C3" s="2">
        <f>(C2+B2)</f>
        <v>103.53</v>
      </c>
      <c r="F3" s="4" t="s">
        <v>43</v>
      </c>
      <c r="G3" s="16"/>
      <c r="H3" s="16"/>
      <c r="I3" s="19"/>
      <c r="K3" s="4" t="s">
        <v>43</v>
      </c>
      <c r="L3" s="16"/>
      <c r="M3" s="16"/>
      <c r="N3" s="19"/>
      <c r="P3" s="27">
        <v>0</v>
      </c>
      <c r="Q3" s="29">
        <f>(C3-11.4)</f>
        <v>92.13</v>
      </c>
    </row>
    <row r="4" spans="1:17" x14ac:dyDescent="0.25">
      <c r="A4" s="2" t="s">
        <v>17</v>
      </c>
      <c r="B4" s="2">
        <v>7.3</v>
      </c>
      <c r="C4" s="2">
        <f t="shared" ref="C4:C7" si="0">$C$3-B4</f>
        <v>96.23</v>
      </c>
      <c r="F4" s="4"/>
      <c r="G4" s="16"/>
      <c r="H4" s="16"/>
      <c r="I4" s="19"/>
      <c r="K4" s="4"/>
      <c r="L4" s="16"/>
      <c r="M4" s="16"/>
      <c r="N4" s="19"/>
      <c r="P4" s="3">
        <v>8</v>
      </c>
      <c r="Q4" s="30">
        <f>(C3-12.67)</f>
        <v>90.86</v>
      </c>
    </row>
    <row r="5" spans="1:17" x14ac:dyDescent="0.25">
      <c r="A5" s="2" t="s">
        <v>16</v>
      </c>
      <c r="B5" s="2">
        <v>12.3</v>
      </c>
      <c r="C5" s="2">
        <f t="shared" si="0"/>
        <v>91.23</v>
      </c>
      <c r="F5" s="4"/>
      <c r="G5" s="16"/>
      <c r="H5" s="16"/>
      <c r="I5" s="19"/>
      <c r="K5" s="4"/>
      <c r="L5" s="16"/>
      <c r="M5" s="16"/>
      <c r="N5" s="19"/>
      <c r="P5" s="3">
        <v>13</v>
      </c>
      <c r="Q5" s="30">
        <f>General270[[#This Row],[Elevation (ft, local datum)]]</f>
        <v>91.23</v>
      </c>
    </row>
    <row r="6" spans="1:17" x14ac:dyDescent="0.25">
      <c r="A6" s="2" t="s">
        <v>15</v>
      </c>
      <c r="B6" s="2">
        <v>9.1999999999999993</v>
      </c>
      <c r="C6" s="2">
        <f t="shared" si="0"/>
        <v>94.33</v>
      </c>
      <c r="F6" s="4"/>
      <c r="G6" s="16"/>
      <c r="H6" s="16"/>
      <c r="I6" s="19"/>
      <c r="K6" s="4"/>
      <c r="L6" s="16"/>
      <c r="M6" s="16"/>
      <c r="N6" s="19"/>
      <c r="P6" s="3">
        <f>P5+B9</f>
        <v>41</v>
      </c>
      <c r="Q6" s="30">
        <f>C7</f>
        <v>88.33</v>
      </c>
    </row>
    <row r="7" spans="1:17" x14ac:dyDescent="0.25">
      <c r="A7" s="2" t="s">
        <v>14</v>
      </c>
      <c r="B7" s="2">
        <v>15.2</v>
      </c>
      <c r="C7" s="2">
        <f t="shared" si="0"/>
        <v>88.33</v>
      </c>
      <c r="F7" s="3"/>
      <c r="G7" s="17"/>
      <c r="H7" s="16"/>
      <c r="I7" s="18"/>
      <c r="K7" s="3"/>
      <c r="L7" s="16"/>
      <c r="M7" s="16"/>
      <c r="N7" s="19"/>
      <c r="P7" s="3">
        <f>P6</f>
        <v>41</v>
      </c>
      <c r="Q7" s="30">
        <f>Q6-5.5</f>
        <v>82.83</v>
      </c>
    </row>
    <row r="8" spans="1:17" x14ac:dyDescent="0.25">
      <c r="F8" s="3"/>
      <c r="G8" s="17"/>
      <c r="H8" s="17"/>
      <c r="I8" s="18"/>
      <c r="L8" s="17"/>
      <c r="M8" s="17"/>
      <c r="N8" s="18"/>
      <c r="P8" s="3">
        <f>P7+2</f>
        <v>43</v>
      </c>
      <c r="Q8" s="3">
        <f>Q6-7.7-2.6</f>
        <v>78.03</v>
      </c>
    </row>
    <row r="9" spans="1:17" x14ac:dyDescent="0.25">
      <c r="A9" s="2" t="s">
        <v>1</v>
      </c>
      <c r="B9" s="2">
        <v>28</v>
      </c>
    </row>
    <row r="10" spans="1:17" x14ac:dyDescent="0.25">
      <c r="A10" s="2" t="s">
        <v>0</v>
      </c>
      <c r="B10" s="1">
        <f>(C5-C7)/B9</f>
        <v>0.10357142857142877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DA2-F450-408E-9F27-DB6E8ECE9BFF}">
  <dimension ref="A1:Q12"/>
  <sheetViews>
    <sheetView workbookViewId="0">
      <selection activeCell="P1" sqref="P1"/>
    </sheetView>
  </sheetViews>
  <sheetFormatPr defaultRowHeight="15" x14ac:dyDescent="0.25"/>
  <cols>
    <col min="1" max="1" width="27.5703125" style="2" customWidth="1"/>
    <col min="2" max="2" width="12.7109375" style="2" bestFit="1" customWidth="1"/>
    <col min="3" max="3" width="13.85546875" style="2" bestFit="1" customWidth="1"/>
    <col min="4" max="4" width="10.85546875" style="2" customWidth="1"/>
    <col min="5" max="5" width="2" style="2" customWidth="1"/>
    <col min="6" max="6" width="29.7109375" style="2" bestFit="1" customWidth="1"/>
    <col min="7" max="7" width="12.7109375" style="2" bestFit="1" customWidth="1"/>
    <col min="8" max="8" width="13.85546875" style="2" bestFit="1" customWidth="1"/>
    <col min="9" max="9" width="11" style="2" customWidth="1"/>
    <col min="10" max="10" width="2.140625" style="2" customWidth="1"/>
    <col min="11" max="11" width="28.140625" style="2" bestFit="1" customWidth="1"/>
    <col min="12" max="12" width="12.7109375" style="2" bestFit="1" customWidth="1"/>
    <col min="13" max="13" width="13.85546875" style="2" bestFit="1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2.7109375" style="2" bestFit="1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9" t="s">
        <v>22</v>
      </c>
      <c r="M1" s="13" t="s">
        <v>34</v>
      </c>
      <c r="N1" s="9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2.97</v>
      </c>
      <c r="C2" s="2">
        <v>100</v>
      </c>
      <c r="F2" s="11" t="s">
        <v>11</v>
      </c>
      <c r="G2" s="12"/>
      <c r="H2" s="12"/>
      <c r="I2" s="15"/>
      <c r="K2" s="8" t="s">
        <v>8</v>
      </c>
      <c r="L2" s="7"/>
      <c r="M2" s="7"/>
      <c r="N2" s="6"/>
      <c r="P2" s="8" t="s">
        <v>2</v>
      </c>
      <c r="Q2" s="7"/>
    </row>
    <row r="3" spans="1:17" x14ac:dyDescent="0.25">
      <c r="A3" s="2" t="s">
        <v>18</v>
      </c>
      <c r="C3" s="2">
        <f>(C2+B2)</f>
        <v>102.97</v>
      </c>
      <c r="F3" s="4">
        <v>2</v>
      </c>
      <c r="G3" s="16">
        <v>16.43</v>
      </c>
      <c r="H3" s="16">
        <f>$C$3-G3</f>
        <v>86.539999999999992</v>
      </c>
      <c r="I3" s="19" t="s">
        <v>10</v>
      </c>
      <c r="K3" s="4">
        <v>3</v>
      </c>
      <c r="L3" s="16">
        <v>5.0599999999999996</v>
      </c>
      <c r="M3" s="16">
        <f>$C$3-L3</f>
        <v>97.91</v>
      </c>
      <c r="N3" s="19" t="s">
        <v>7</v>
      </c>
      <c r="P3" s="4">
        <v>0</v>
      </c>
      <c r="Q3" s="16">
        <f>M5</f>
        <v>96.78</v>
      </c>
    </row>
    <row r="4" spans="1:17" x14ac:dyDescent="0.25">
      <c r="A4" s="2" t="s">
        <v>35</v>
      </c>
      <c r="B4" s="2">
        <v>5.62</v>
      </c>
      <c r="C4" s="2">
        <f>$C$3-B4</f>
        <v>97.35</v>
      </c>
      <c r="F4" s="4">
        <v>3</v>
      </c>
      <c r="G4" s="16">
        <v>17.329999999999998</v>
      </c>
      <c r="H4" s="16">
        <f>$C$3-G4</f>
        <v>85.64</v>
      </c>
      <c r="I4" s="19" t="s">
        <v>6</v>
      </c>
      <c r="K4" s="5">
        <v>4</v>
      </c>
      <c r="L4" s="20">
        <v>6.05</v>
      </c>
      <c r="M4" s="20">
        <f>$C$3-L4</f>
        <v>96.92</v>
      </c>
      <c r="N4" s="21" t="s">
        <v>25</v>
      </c>
      <c r="P4" s="5">
        <f>L8</f>
        <v>15</v>
      </c>
      <c r="Q4" s="20">
        <f>C5</f>
        <v>94.09</v>
      </c>
    </row>
    <row r="5" spans="1:17" x14ac:dyDescent="0.25">
      <c r="A5" s="2" t="s">
        <v>16</v>
      </c>
      <c r="B5" s="2">
        <v>8.8800000000000008</v>
      </c>
      <c r="C5" s="2">
        <f>$C$3-B5</f>
        <v>94.09</v>
      </c>
      <c r="F5" s="4">
        <v>6</v>
      </c>
      <c r="G5" s="16">
        <v>17.5</v>
      </c>
      <c r="H5" s="16">
        <f>$C$3-G5</f>
        <v>85.47</v>
      </c>
      <c r="I5" s="19" t="s">
        <v>5</v>
      </c>
      <c r="K5" s="4">
        <v>7</v>
      </c>
      <c r="L5" s="16">
        <v>6.19</v>
      </c>
      <c r="M5" s="16">
        <f>$C$3-L5</f>
        <v>96.78</v>
      </c>
      <c r="N5" s="19" t="s">
        <v>5</v>
      </c>
      <c r="P5" s="4">
        <f>P4+B11</f>
        <v>51</v>
      </c>
      <c r="Q5" s="16">
        <f>C7</f>
        <v>86.64</v>
      </c>
    </row>
    <row r="6" spans="1:17" x14ac:dyDescent="0.25">
      <c r="A6" s="2" t="s">
        <v>36</v>
      </c>
      <c r="B6" s="2">
        <v>11.89</v>
      </c>
      <c r="C6" s="2">
        <f>$C$3-B6</f>
        <v>91.08</v>
      </c>
      <c r="F6" s="4">
        <v>8</v>
      </c>
      <c r="G6" s="16">
        <v>17.3</v>
      </c>
      <c r="H6" s="16">
        <f>$C$3-G6</f>
        <v>85.67</v>
      </c>
      <c r="I6" s="19" t="s">
        <v>9</v>
      </c>
      <c r="K6" s="5">
        <v>9</v>
      </c>
      <c r="L6" s="20">
        <v>5.95</v>
      </c>
      <c r="M6" s="20">
        <f>$C$3-L6</f>
        <v>97.02</v>
      </c>
      <c r="N6" s="21" t="s">
        <v>4</v>
      </c>
      <c r="P6" s="5">
        <f>P5+G8</f>
        <v>59</v>
      </c>
      <c r="Q6" s="20">
        <f>H5</f>
        <v>85.47</v>
      </c>
    </row>
    <row r="7" spans="1:17" x14ac:dyDescent="0.25">
      <c r="A7" s="2" t="s">
        <v>14</v>
      </c>
      <c r="B7" s="2">
        <v>16.329999999999998</v>
      </c>
      <c r="C7" s="2">
        <f>$C$3-B7</f>
        <v>86.64</v>
      </c>
      <c r="F7" s="3">
        <v>11</v>
      </c>
      <c r="G7" s="17">
        <v>16.28</v>
      </c>
      <c r="H7" s="17">
        <f>$C$3-G7</f>
        <v>86.69</v>
      </c>
      <c r="I7" s="18" t="s">
        <v>3</v>
      </c>
      <c r="K7" s="4">
        <v>10</v>
      </c>
      <c r="L7" s="16">
        <v>4.76</v>
      </c>
      <c r="M7" s="16">
        <f>$C$3-L7</f>
        <v>98.21</v>
      </c>
      <c r="N7" s="19" t="s">
        <v>24</v>
      </c>
      <c r="P7" s="3"/>
      <c r="Q7" s="17"/>
    </row>
    <row r="8" spans="1:17" x14ac:dyDescent="0.25">
      <c r="A8" s="2" t="s">
        <v>13</v>
      </c>
      <c r="B8" s="2">
        <v>17.23</v>
      </c>
      <c r="C8" s="2">
        <f>$C$3-B8</f>
        <v>85.74</v>
      </c>
      <c r="F8" s="3" t="s">
        <v>37</v>
      </c>
      <c r="G8" s="17">
        <v>8</v>
      </c>
      <c r="H8" s="17"/>
      <c r="I8" s="18"/>
      <c r="K8" s="3" t="s">
        <v>38</v>
      </c>
      <c r="L8" s="22">
        <v>15</v>
      </c>
      <c r="M8" s="22"/>
      <c r="N8" s="23"/>
    </row>
    <row r="11" spans="1:17" x14ac:dyDescent="0.25">
      <c r="A11" s="2" t="s">
        <v>1</v>
      </c>
      <c r="B11" s="2">
        <v>36</v>
      </c>
    </row>
    <row r="12" spans="1:17" x14ac:dyDescent="0.25">
      <c r="A12" s="2" t="s">
        <v>0</v>
      </c>
      <c r="B12" s="1">
        <f>(C5-C7)/B11</f>
        <v>0.20694444444444451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7846-9193-4FD5-9275-7FCEB2DC9F77}">
  <dimension ref="A1:Q12"/>
  <sheetViews>
    <sheetView workbookViewId="0">
      <selection activeCell="T16" sqref="T16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4257812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2.85546875" style="2" customWidth="1"/>
    <col min="9" max="9" width="22.5703125" style="2" bestFit="1" customWidth="1"/>
    <col min="10" max="10" width="2.140625" style="2" customWidth="1"/>
    <col min="11" max="11" width="22.28515625" style="2" bestFit="1" customWidth="1"/>
    <col min="12" max="12" width="12.5703125" style="2" customWidth="1"/>
    <col min="13" max="13" width="11.4257812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8554687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0" t="s">
        <v>21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5.61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105.61</v>
      </c>
      <c r="F3" s="4">
        <v>1</v>
      </c>
      <c r="G3" s="16">
        <v>11.61</v>
      </c>
      <c r="H3" s="16">
        <f>$C$3-G3</f>
        <v>94</v>
      </c>
      <c r="I3" s="19" t="s">
        <v>10</v>
      </c>
      <c r="K3" s="4">
        <v>0</v>
      </c>
      <c r="L3" s="16">
        <v>7.1</v>
      </c>
      <c r="M3" s="16">
        <f>$C$3-L3</f>
        <v>98.51</v>
      </c>
      <c r="N3" s="19" t="s">
        <v>27</v>
      </c>
      <c r="P3" s="4">
        <v>0</v>
      </c>
      <c r="Q3" s="16">
        <f>M4</f>
        <v>97.53</v>
      </c>
    </row>
    <row r="4" spans="1:17" x14ac:dyDescent="0.25">
      <c r="A4" s="2" t="s">
        <v>17</v>
      </c>
      <c r="B4" s="2">
        <v>7.51</v>
      </c>
      <c r="C4" s="2">
        <f t="shared" ref="C4:C8" si="0">$C$3-B4</f>
        <v>98.1</v>
      </c>
      <c r="F4" s="4">
        <v>4</v>
      </c>
      <c r="G4" s="16">
        <v>13.06</v>
      </c>
      <c r="H4" s="16">
        <f>$C$3-G4</f>
        <v>92.55</v>
      </c>
      <c r="I4" s="19" t="s">
        <v>26</v>
      </c>
      <c r="K4" s="4">
        <v>3</v>
      </c>
      <c r="L4" s="16">
        <v>8.08</v>
      </c>
      <c r="M4" s="16">
        <f>$C$3-L4</f>
        <v>97.53</v>
      </c>
      <c r="N4" s="19" t="s">
        <v>5</v>
      </c>
      <c r="P4" s="4">
        <f>L7</f>
        <v>11</v>
      </c>
      <c r="Q4" s="16">
        <f>C5</f>
        <v>95</v>
      </c>
    </row>
    <row r="5" spans="1:17" x14ac:dyDescent="0.25">
      <c r="A5" s="2" t="s">
        <v>16</v>
      </c>
      <c r="B5" s="2">
        <v>10.61</v>
      </c>
      <c r="C5" s="2">
        <f t="shared" si="0"/>
        <v>95</v>
      </c>
      <c r="F5" s="4">
        <v>6.5</v>
      </c>
      <c r="G5" s="16">
        <v>13.07</v>
      </c>
      <c r="H5" s="16">
        <f>$C$3-G5</f>
        <v>92.539999999999992</v>
      </c>
      <c r="I5" s="19" t="s">
        <v>5</v>
      </c>
      <c r="K5" s="4">
        <v>6</v>
      </c>
      <c r="L5" s="16">
        <v>7.24</v>
      </c>
      <c r="M5" s="16">
        <f>$C$3-L5</f>
        <v>98.37</v>
      </c>
      <c r="N5" s="19" t="s">
        <v>7</v>
      </c>
      <c r="P5" s="4">
        <f>P4+B11</f>
        <v>41</v>
      </c>
      <c r="Q5" s="16">
        <f>C7</f>
        <v>93.33</v>
      </c>
    </row>
    <row r="6" spans="1:17" x14ac:dyDescent="0.25">
      <c r="A6" s="2" t="s">
        <v>15</v>
      </c>
      <c r="B6" s="2">
        <v>9.4499999999999993</v>
      </c>
      <c r="C6" s="2">
        <f t="shared" si="0"/>
        <v>96.16</v>
      </c>
      <c r="F6" s="4">
        <v>8</v>
      </c>
      <c r="G6" s="16">
        <v>13</v>
      </c>
      <c r="H6" s="16">
        <f>$C$3-G6</f>
        <v>92.61</v>
      </c>
      <c r="I6" s="19" t="s">
        <v>4</v>
      </c>
      <c r="K6" s="4"/>
      <c r="L6" s="16"/>
      <c r="M6" s="16"/>
      <c r="N6" s="19"/>
      <c r="P6" s="4">
        <f>P5+G9</f>
        <v>53</v>
      </c>
      <c r="Q6" s="16">
        <f>H5</f>
        <v>92.539999999999992</v>
      </c>
    </row>
    <row r="7" spans="1:17" x14ac:dyDescent="0.25">
      <c r="A7" s="2" t="s">
        <v>14</v>
      </c>
      <c r="B7" s="2">
        <v>12.28</v>
      </c>
      <c r="C7" s="2">
        <f t="shared" si="0"/>
        <v>93.33</v>
      </c>
      <c r="F7" s="3">
        <v>9</v>
      </c>
      <c r="G7" s="17">
        <v>12.77</v>
      </c>
      <c r="H7" s="17">
        <f>$C$3-G7</f>
        <v>92.84</v>
      </c>
      <c r="I7" s="18" t="s">
        <v>3</v>
      </c>
      <c r="K7" s="3" t="s">
        <v>38</v>
      </c>
      <c r="L7" s="17">
        <v>11</v>
      </c>
      <c r="M7" s="17"/>
      <c r="N7" s="18"/>
      <c r="P7" s="4"/>
      <c r="Q7" s="17"/>
    </row>
    <row r="8" spans="1:17" x14ac:dyDescent="0.25">
      <c r="A8" s="2" t="s">
        <v>13</v>
      </c>
      <c r="B8" s="2">
        <v>13.62</v>
      </c>
      <c r="C8" s="2">
        <f t="shared" si="0"/>
        <v>91.99</v>
      </c>
      <c r="F8" s="3"/>
      <c r="G8" s="17"/>
      <c r="H8" s="17"/>
      <c r="I8" s="3"/>
      <c r="K8" s="3"/>
      <c r="L8" s="17"/>
      <c r="M8" s="17"/>
      <c r="N8" s="18"/>
    </row>
    <row r="9" spans="1:17" x14ac:dyDescent="0.25">
      <c r="F9" s="3" t="s">
        <v>37</v>
      </c>
      <c r="G9" s="17">
        <v>12</v>
      </c>
      <c r="H9" s="17"/>
      <c r="I9" s="18"/>
    </row>
    <row r="11" spans="1:17" x14ac:dyDescent="0.25">
      <c r="A11" s="2" t="s">
        <v>1</v>
      </c>
      <c r="B11" s="2">
        <v>30</v>
      </c>
    </row>
    <row r="12" spans="1:17" x14ac:dyDescent="0.25">
      <c r="A12" s="2" t="s">
        <v>0</v>
      </c>
      <c r="B12" s="1">
        <f>(C5-C7)/B11</f>
        <v>5.5666666666666725E-2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2516-EB1A-4B01-A56E-9756BCDB1E75}">
  <dimension ref="A1:Q10"/>
  <sheetViews>
    <sheetView workbookViewId="0">
      <selection activeCell="U9" sqref="U9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2.8554687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3.710937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4.12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104.12</v>
      </c>
      <c r="F3" s="4">
        <v>0</v>
      </c>
      <c r="G3" s="16">
        <v>14.25</v>
      </c>
      <c r="H3" s="16">
        <f>$C$3-G3</f>
        <v>89.87</v>
      </c>
      <c r="I3" s="19" t="s">
        <v>10</v>
      </c>
      <c r="K3" s="4">
        <v>0</v>
      </c>
      <c r="L3" s="16">
        <v>11.23</v>
      </c>
      <c r="M3" s="16">
        <f>$C$3-L3</f>
        <v>92.89</v>
      </c>
      <c r="N3" s="19" t="s">
        <v>7</v>
      </c>
      <c r="P3" s="4">
        <v>0</v>
      </c>
      <c r="Q3" s="16">
        <f>M4</f>
        <v>91.41</v>
      </c>
    </row>
    <row r="4" spans="1:17" x14ac:dyDescent="0.25">
      <c r="A4" s="2" t="s">
        <v>17</v>
      </c>
      <c r="B4" s="2">
        <v>8.93</v>
      </c>
      <c r="C4" s="2">
        <f>$C$3-B4</f>
        <v>95.19</v>
      </c>
      <c r="F4" s="4">
        <v>4</v>
      </c>
      <c r="G4" s="16">
        <v>14.66</v>
      </c>
      <c r="H4" s="16">
        <f>$C$3-G4</f>
        <v>89.460000000000008</v>
      </c>
      <c r="I4" s="19" t="s">
        <v>5</v>
      </c>
      <c r="K4" s="4">
        <v>4</v>
      </c>
      <c r="L4" s="16">
        <v>12.71</v>
      </c>
      <c r="M4" s="16">
        <f>$C$3-L4</f>
        <v>91.41</v>
      </c>
      <c r="N4" s="19" t="s">
        <v>5</v>
      </c>
      <c r="P4" s="4">
        <f>L7</f>
        <v>8</v>
      </c>
      <c r="Q4" s="16">
        <f>C5</f>
        <v>91.29</v>
      </c>
    </row>
    <row r="5" spans="1:17" x14ac:dyDescent="0.25">
      <c r="A5" s="2" t="s">
        <v>16</v>
      </c>
      <c r="B5" s="2">
        <v>12.83</v>
      </c>
      <c r="C5" s="2">
        <f>$C$3-B5</f>
        <v>91.29</v>
      </c>
      <c r="F5" s="4">
        <v>7</v>
      </c>
      <c r="G5" s="16">
        <v>13.81</v>
      </c>
      <c r="H5" s="16">
        <f>$C$3-G5</f>
        <v>90.31</v>
      </c>
      <c r="I5" s="19" t="s">
        <v>27</v>
      </c>
      <c r="K5" s="4">
        <v>7</v>
      </c>
      <c r="L5" s="16">
        <v>10.88</v>
      </c>
      <c r="M5" s="16">
        <f>$C$3-L5</f>
        <v>93.240000000000009</v>
      </c>
      <c r="N5" s="19" t="s">
        <v>27</v>
      </c>
      <c r="P5" s="4">
        <f>P4+B9</f>
        <v>32</v>
      </c>
      <c r="Q5" s="16">
        <f>C7</f>
        <v>90.12</v>
      </c>
    </row>
    <row r="6" spans="1:17" x14ac:dyDescent="0.25">
      <c r="A6" s="2" t="s">
        <v>15</v>
      </c>
      <c r="B6" s="2">
        <v>10.6</v>
      </c>
      <c r="C6" s="2">
        <f>$C$3-B6</f>
        <v>93.52000000000001</v>
      </c>
      <c r="F6" s="4"/>
      <c r="G6" s="16"/>
      <c r="H6" s="16"/>
      <c r="I6" s="19"/>
      <c r="K6" s="4"/>
      <c r="L6" s="16"/>
      <c r="M6" s="16"/>
      <c r="N6" s="19"/>
      <c r="P6" s="4">
        <f>P5+G7</f>
        <v>38</v>
      </c>
      <c r="Q6" s="16">
        <f>H4</f>
        <v>89.460000000000008</v>
      </c>
    </row>
    <row r="7" spans="1:17" x14ac:dyDescent="0.25">
      <c r="A7" s="2" t="s">
        <v>14</v>
      </c>
      <c r="B7" s="2">
        <v>14</v>
      </c>
      <c r="C7" s="2">
        <f>$C$3-B7</f>
        <v>90.12</v>
      </c>
      <c r="F7" s="3" t="s">
        <v>37</v>
      </c>
      <c r="G7" s="17">
        <v>6</v>
      </c>
      <c r="H7" s="17"/>
      <c r="I7" s="18"/>
      <c r="K7" s="3" t="s">
        <v>38</v>
      </c>
      <c r="L7" s="17">
        <v>8</v>
      </c>
      <c r="M7" s="17"/>
      <c r="N7" s="18"/>
      <c r="P7" s="3"/>
      <c r="Q7" s="17"/>
    </row>
    <row r="8" spans="1:17" x14ac:dyDescent="0.25">
      <c r="K8" s="3"/>
      <c r="L8" s="17"/>
      <c r="M8" s="17"/>
      <c r="N8" s="18"/>
    </row>
    <row r="9" spans="1:17" x14ac:dyDescent="0.25">
      <c r="A9" s="2" t="s">
        <v>1</v>
      </c>
      <c r="B9" s="2">
        <v>24</v>
      </c>
    </row>
    <row r="10" spans="1:17" x14ac:dyDescent="0.25">
      <c r="A10" s="2" t="s">
        <v>0</v>
      </c>
      <c r="B10" s="1">
        <f>(C5-C7)/B9</f>
        <v>4.8750000000000071E-2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F013-D648-412E-B9D4-82C2F1823324}">
  <dimension ref="A1:Q12"/>
  <sheetViews>
    <sheetView workbookViewId="0">
      <selection activeCell="A9" sqref="A9:C9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5.570312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4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4.8554687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6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2.25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102.25</v>
      </c>
      <c r="F3" s="4">
        <v>3</v>
      </c>
      <c r="G3" s="16">
        <v>13.2</v>
      </c>
      <c r="H3" s="16">
        <f>$C$3-G3</f>
        <v>89.05</v>
      </c>
      <c r="I3" s="19" t="s">
        <v>10</v>
      </c>
      <c r="K3" s="4">
        <v>1</v>
      </c>
      <c r="L3" s="16">
        <v>2.16</v>
      </c>
      <c r="M3" s="16">
        <f t="shared" ref="M3:M9" si="0">$C$3-L3</f>
        <v>100.09</v>
      </c>
      <c r="N3" s="19" t="s">
        <v>3</v>
      </c>
      <c r="P3" s="4">
        <v>0</v>
      </c>
      <c r="Q3" s="16">
        <f>M6</f>
        <v>95.92</v>
      </c>
    </row>
    <row r="4" spans="1:17" x14ac:dyDescent="0.25">
      <c r="A4" s="2" t="s">
        <v>17</v>
      </c>
      <c r="B4" s="2">
        <v>6.23</v>
      </c>
      <c r="C4" s="2">
        <f t="shared" ref="C4:C8" si="1">$C$3-B4</f>
        <v>96.02</v>
      </c>
      <c r="F4" s="4">
        <v>9</v>
      </c>
      <c r="G4" s="16">
        <v>15.7</v>
      </c>
      <c r="H4" s="16">
        <f>$C$3-G4</f>
        <v>86.55</v>
      </c>
      <c r="I4" s="19" t="s">
        <v>33</v>
      </c>
      <c r="K4" s="4">
        <v>4</v>
      </c>
      <c r="L4" s="16">
        <v>5.52</v>
      </c>
      <c r="M4" s="16">
        <f t="shared" si="0"/>
        <v>96.73</v>
      </c>
      <c r="N4" s="19"/>
      <c r="P4" s="4">
        <f>L10</f>
        <v>31</v>
      </c>
      <c r="Q4" s="16">
        <f>C5</f>
        <v>94.25</v>
      </c>
    </row>
    <row r="5" spans="1:17" x14ac:dyDescent="0.25">
      <c r="A5" s="2" t="s">
        <v>16</v>
      </c>
      <c r="B5" s="2">
        <v>8</v>
      </c>
      <c r="C5" s="2">
        <f t="shared" si="1"/>
        <v>94.25</v>
      </c>
      <c r="F5" s="4">
        <v>22</v>
      </c>
      <c r="G5" s="16">
        <v>16.100000000000001</v>
      </c>
      <c r="H5" s="16">
        <f>$C$3-G5</f>
        <v>86.15</v>
      </c>
      <c r="I5" s="19" t="s">
        <v>32</v>
      </c>
      <c r="K5" s="4">
        <v>8</v>
      </c>
      <c r="L5" s="16">
        <v>6.72</v>
      </c>
      <c r="M5" s="16">
        <f t="shared" si="0"/>
        <v>95.53</v>
      </c>
      <c r="N5" s="19" t="s">
        <v>4</v>
      </c>
      <c r="P5" s="4">
        <f>P4+B11</f>
        <v>63</v>
      </c>
      <c r="Q5" s="16">
        <f>C7</f>
        <v>90.65</v>
      </c>
    </row>
    <row r="6" spans="1:17" x14ac:dyDescent="0.25">
      <c r="A6" s="2" t="s">
        <v>15</v>
      </c>
      <c r="B6" s="2">
        <v>9.34</v>
      </c>
      <c r="C6" s="2">
        <f t="shared" si="1"/>
        <v>92.91</v>
      </c>
      <c r="F6" s="4">
        <v>36</v>
      </c>
      <c r="G6" s="16">
        <v>15.95</v>
      </c>
      <c r="H6" s="16">
        <f>$C$3-G6</f>
        <v>86.3</v>
      </c>
      <c r="I6" s="19" t="s">
        <v>31</v>
      </c>
      <c r="K6" s="4">
        <v>13</v>
      </c>
      <c r="L6" s="16">
        <v>6.33</v>
      </c>
      <c r="M6" s="16">
        <f t="shared" si="0"/>
        <v>95.92</v>
      </c>
      <c r="N6" s="19" t="s">
        <v>5</v>
      </c>
      <c r="P6" s="4">
        <f>P5+G9</f>
        <v>83</v>
      </c>
      <c r="Q6" s="16">
        <f>H5</f>
        <v>86.15</v>
      </c>
    </row>
    <row r="7" spans="1:17" x14ac:dyDescent="0.25">
      <c r="A7" s="2" t="s">
        <v>14</v>
      </c>
      <c r="B7" s="2">
        <v>11.6</v>
      </c>
      <c r="C7" s="2">
        <f t="shared" si="1"/>
        <v>90.65</v>
      </c>
      <c r="F7" s="3">
        <v>40</v>
      </c>
      <c r="G7" s="17">
        <v>14.43</v>
      </c>
      <c r="H7" s="17">
        <f>$C$3-G7</f>
        <v>87.82</v>
      </c>
      <c r="I7" s="18" t="s">
        <v>3</v>
      </c>
      <c r="K7" s="4">
        <v>20</v>
      </c>
      <c r="L7" s="16">
        <v>5.9</v>
      </c>
      <c r="M7" s="16">
        <f t="shared" si="0"/>
        <v>96.35</v>
      </c>
      <c r="N7" s="19" t="s">
        <v>25</v>
      </c>
      <c r="P7" s="3"/>
      <c r="Q7" s="17"/>
    </row>
    <row r="8" spans="1:17" x14ac:dyDescent="0.25">
      <c r="A8" s="2" t="s">
        <v>13</v>
      </c>
      <c r="B8" s="2">
        <v>14.36</v>
      </c>
      <c r="C8" s="2">
        <f t="shared" si="1"/>
        <v>87.89</v>
      </c>
      <c r="F8" s="3"/>
      <c r="G8" s="17"/>
      <c r="H8" s="17"/>
      <c r="I8" s="18"/>
      <c r="K8" s="3">
        <v>23</v>
      </c>
      <c r="L8" s="17">
        <v>5.25</v>
      </c>
      <c r="M8" s="17">
        <f t="shared" si="0"/>
        <v>97</v>
      </c>
      <c r="N8" s="18"/>
    </row>
    <row r="9" spans="1:17" x14ac:dyDescent="0.25">
      <c r="F9" s="3" t="s">
        <v>37</v>
      </c>
      <c r="G9" s="17">
        <v>20</v>
      </c>
      <c r="H9" s="17"/>
      <c r="I9" s="18"/>
      <c r="K9" s="3">
        <v>26</v>
      </c>
      <c r="L9" s="17">
        <v>2.29</v>
      </c>
      <c r="M9" s="17">
        <f t="shared" si="0"/>
        <v>99.96</v>
      </c>
      <c r="N9" s="18" t="s">
        <v>7</v>
      </c>
    </row>
    <row r="10" spans="1:17" x14ac:dyDescent="0.25">
      <c r="K10" s="3" t="s">
        <v>38</v>
      </c>
      <c r="L10" s="2">
        <v>31</v>
      </c>
    </row>
    <row r="11" spans="1:17" x14ac:dyDescent="0.25">
      <c r="A11" s="2" t="s">
        <v>1</v>
      </c>
      <c r="B11" s="2">
        <v>32</v>
      </c>
    </row>
    <row r="12" spans="1:17" x14ac:dyDescent="0.25">
      <c r="A12" s="2" t="s">
        <v>0</v>
      </c>
      <c r="B12" s="1">
        <f>(C5-C7)/B11</f>
        <v>0.11249999999999982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C3CC-436B-419E-9F05-A4A135F11111}">
  <dimension ref="A1:Q12"/>
  <sheetViews>
    <sheetView workbookViewId="0">
      <selection activeCell="C9" sqref="C9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42578125" style="2" customWidth="1"/>
    <col min="4" max="4" width="10.85546875" style="2" customWidth="1"/>
    <col min="5" max="5" width="2" style="2" customWidth="1"/>
    <col min="6" max="6" width="24.140625" style="2" bestFit="1" customWidth="1"/>
    <col min="7" max="7" width="11.7109375" style="2" customWidth="1"/>
    <col min="8" max="8" width="12.8554687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3.570312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3.57031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2.5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102.5</v>
      </c>
      <c r="F3" s="4">
        <v>3</v>
      </c>
      <c r="G3" s="16">
        <v>12.36</v>
      </c>
      <c r="H3" s="16">
        <f>$C$3-G3</f>
        <v>90.14</v>
      </c>
      <c r="I3" s="19" t="s">
        <v>10</v>
      </c>
      <c r="K3" s="4">
        <v>2</v>
      </c>
      <c r="L3" s="16">
        <v>5.83</v>
      </c>
      <c r="M3" s="16">
        <f>$C$3-L3</f>
        <v>96.67</v>
      </c>
      <c r="N3" s="19" t="s">
        <v>27</v>
      </c>
      <c r="P3" s="4">
        <v>0</v>
      </c>
      <c r="Q3" s="16">
        <f>M5</f>
        <v>94.98</v>
      </c>
    </row>
    <row r="4" spans="1:17" x14ac:dyDescent="0.25">
      <c r="A4" s="2" t="s">
        <v>17</v>
      </c>
      <c r="B4" s="2">
        <v>5.4</v>
      </c>
      <c r="C4" s="2">
        <f t="shared" ref="C4:C7" si="0">$C$3-B4</f>
        <v>97.1</v>
      </c>
      <c r="F4" s="4">
        <v>8</v>
      </c>
      <c r="G4" s="16">
        <v>13.3</v>
      </c>
      <c r="H4" s="16">
        <f>$C$3-G4</f>
        <v>89.2</v>
      </c>
      <c r="I4" s="19" t="s">
        <v>25</v>
      </c>
      <c r="K4" s="4">
        <v>4</v>
      </c>
      <c r="L4" s="16">
        <v>7.16</v>
      </c>
      <c r="M4" s="16">
        <f>$C$3-L4</f>
        <v>95.34</v>
      </c>
      <c r="N4" s="19" t="s">
        <v>4</v>
      </c>
      <c r="P4" s="4">
        <f>L9</f>
        <v>23</v>
      </c>
      <c r="Q4" s="16">
        <f>C5</f>
        <v>92.5</v>
      </c>
    </row>
    <row r="5" spans="1:17" x14ac:dyDescent="0.25">
      <c r="A5" s="2" t="s">
        <v>16</v>
      </c>
      <c r="B5" s="2">
        <v>10</v>
      </c>
      <c r="C5" s="2">
        <f t="shared" si="0"/>
        <v>92.5</v>
      </c>
      <c r="F5" s="4">
        <v>10</v>
      </c>
      <c r="G5" s="16">
        <v>13.47</v>
      </c>
      <c r="H5" s="16">
        <f>$C$3-G5</f>
        <v>89.03</v>
      </c>
      <c r="I5" s="19" t="s">
        <v>29</v>
      </c>
      <c r="K5" s="4">
        <v>7</v>
      </c>
      <c r="L5" s="16">
        <v>7.52</v>
      </c>
      <c r="M5" s="16">
        <f>$C$3-L5</f>
        <v>94.98</v>
      </c>
      <c r="N5" s="19" t="s">
        <v>5</v>
      </c>
      <c r="P5" s="4">
        <f>P4+B11</f>
        <v>55</v>
      </c>
      <c r="Q5" s="16">
        <f>C7</f>
        <v>90.38</v>
      </c>
    </row>
    <row r="6" spans="1:17" x14ac:dyDescent="0.25">
      <c r="A6" s="2" t="s">
        <v>15</v>
      </c>
      <c r="B6" s="2">
        <v>7.53</v>
      </c>
      <c r="C6" s="2">
        <f t="shared" si="0"/>
        <v>94.97</v>
      </c>
      <c r="F6" s="4">
        <v>15</v>
      </c>
      <c r="G6" s="16">
        <v>13.55</v>
      </c>
      <c r="H6" s="16">
        <f>$C$3-G6</f>
        <v>88.95</v>
      </c>
      <c r="I6" s="19" t="s">
        <v>4</v>
      </c>
      <c r="K6" s="4">
        <v>8</v>
      </c>
      <c r="L6" s="16">
        <v>6.9</v>
      </c>
      <c r="M6" s="16">
        <f>$C$3-L6</f>
        <v>95.6</v>
      </c>
      <c r="N6" s="19" t="s">
        <v>25</v>
      </c>
      <c r="P6" s="4">
        <f>P5+G9</f>
        <v>74</v>
      </c>
      <c r="Q6" s="16">
        <f>H5</f>
        <v>89.03</v>
      </c>
    </row>
    <row r="7" spans="1:17" x14ac:dyDescent="0.25">
      <c r="A7" s="2" t="s">
        <v>14</v>
      </c>
      <c r="B7" s="2">
        <v>12.12</v>
      </c>
      <c r="C7" s="2">
        <f t="shared" si="0"/>
        <v>90.38</v>
      </c>
      <c r="F7" s="3">
        <v>16</v>
      </c>
      <c r="G7" s="17">
        <v>12.53</v>
      </c>
      <c r="H7" s="17">
        <f>$C$3-G7</f>
        <v>89.97</v>
      </c>
      <c r="I7" s="18" t="s">
        <v>3</v>
      </c>
      <c r="K7" s="4">
        <v>9</v>
      </c>
      <c r="L7" s="16">
        <v>6.45</v>
      </c>
      <c r="M7" s="16">
        <f>$C$3-L7</f>
        <v>96.05</v>
      </c>
      <c r="N7" s="19" t="s">
        <v>7</v>
      </c>
      <c r="P7" s="3"/>
      <c r="Q7" s="17"/>
    </row>
    <row r="8" spans="1:17" x14ac:dyDescent="0.25">
      <c r="F8" s="3"/>
      <c r="G8" s="17"/>
      <c r="H8" s="17"/>
      <c r="I8" s="18"/>
      <c r="K8" s="3"/>
      <c r="L8" s="17"/>
      <c r="M8" s="17"/>
      <c r="N8" s="18"/>
    </row>
    <row r="9" spans="1:17" x14ac:dyDescent="0.25">
      <c r="F9" s="3" t="s">
        <v>37</v>
      </c>
      <c r="G9" s="17">
        <v>19</v>
      </c>
      <c r="H9" s="17"/>
      <c r="I9" s="18"/>
      <c r="K9" s="3" t="s">
        <v>38</v>
      </c>
      <c r="L9" s="17">
        <v>23</v>
      </c>
      <c r="M9" s="17"/>
      <c r="N9" s="18"/>
    </row>
    <row r="11" spans="1:17" x14ac:dyDescent="0.25">
      <c r="A11" s="2" t="s">
        <v>1</v>
      </c>
      <c r="B11" s="2">
        <v>32</v>
      </c>
    </row>
    <row r="12" spans="1:17" x14ac:dyDescent="0.25">
      <c r="A12" s="2" t="s">
        <v>0</v>
      </c>
      <c r="B12" s="24">
        <f>(C5-C7)/B11</f>
        <v>6.6250000000000142E-2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AFB4-82F1-4873-BF54-B5E80DDE5B2A}">
  <dimension ref="A1:Q10"/>
  <sheetViews>
    <sheetView workbookViewId="0">
      <selection activeCell="U15" sqref="U15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14062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3.2851562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4.14062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710937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3.8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103.8</v>
      </c>
      <c r="F3" s="4">
        <v>3</v>
      </c>
      <c r="G3" s="16">
        <v>11.3</v>
      </c>
      <c r="H3" s="16">
        <f>$C$3-G3</f>
        <v>92.5</v>
      </c>
      <c r="I3" s="19" t="s">
        <v>7</v>
      </c>
      <c r="K3" s="4">
        <v>2</v>
      </c>
      <c r="L3" s="16">
        <v>4.67</v>
      </c>
      <c r="M3" s="16">
        <f>$C$3-L3</f>
        <v>99.13</v>
      </c>
      <c r="N3" s="19" t="s">
        <v>27</v>
      </c>
      <c r="P3" s="4">
        <v>0</v>
      </c>
      <c r="Q3" s="16">
        <f>M5</f>
        <v>96.5</v>
      </c>
    </row>
    <row r="4" spans="1:17" x14ac:dyDescent="0.25">
      <c r="A4" s="2" t="s">
        <v>17</v>
      </c>
      <c r="B4" s="2">
        <v>6.91</v>
      </c>
      <c r="C4" s="2">
        <f t="shared" ref="C4:C7" si="0">$C$3-B4</f>
        <v>96.89</v>
      </c>
      <c r="F4" s="4">
        <v>4</v>
      </c>
      <c r="G4" s="16">
        <v>13.02</v>
      </c>
      <c r="H4" s="16">
        <f>$C$3-G4</f>
        <v>90.78</v>
      </c>
      <c r="I4" s="19" t="s">
        <v>25</v>
      </c>
      <c r="K4" s="4">
        <v>4</v>
      </c>
      <c r="L4" s="16">
        <v>7.26</v>
      </c>
      <c r="M4" s="16">
        <f>$C$3-L4</f>
        <v>96.539999999999992</v>
      </c>
      <c r="N4" s="19" t="s">
        <v>4</v>
      </c>
      <c r="P4" s="4">
        <f>L9</f>
        <v>16</v>
      </c>
      <c r="Q4" s="16">
        <f>C5</f>
        <v>94.16</v>
      </c>
    </row>
    <row r="5" spans="1:17" x14ac:dyDescent="0.25">
      <c r="A5" s="2" t="s">
        <v>16</v>
      </c>
      <c r="B5" s="2">
        <v>9.64</v>
      </c>
      <c r="C5" s="2">
        <f t="shared" si="0"/>
        <v>94.16</v>
      </c>
      <c r="F5" s="4">
        <v>7</v>
      </c>
      <c r="G5" s="16">
        <v>13.49</v>
      </c>
      <c r="H5" s="16">
        <f>$C$3-G5</f>
        <v>90.31</v>
      </c>
      <c r="I5" s="19" t="s">
        <v>5</v>
      </c>
      <c r="K5" s="4">
        <v>7</v>
      </c>
      <c r="L5" s="16">
        <v>7.3</v>
      </c>
      <c r="M5" s="16">
        <f>$C$3-L5</f>
        <v>96.5</v>
      </c>
      <c r="N5" s="19" t="s">
        <v>5</v>
      </c>
      <c r="P5" s="4">
        <f>P4+B9</f>
        <v>40</v>
      </c>
      <c r="Q5" s="16">
        <f>C7</f>
        <v>91.929999999999993</v>
      </c>
    </row>
    <row r="6" spans="1:17" x14ac:dyDescent="0.25">
      <c r="A6" s="2" t="s">
        <v>15</v>
      </c>
      <c r="B6" s="2">
        <v>9</v>
      </c>
      <c r="C6" s="2">
        <f t="shared" si="0"/>
        <v>94.8</v>
      </c>
      <c r="F6" s="4">
        <v>10</v>
      </c>
      <c r="G6" s="16">
        <v>13.02</v>
      </c>
      <c r="H6" s="16">
        <f>$C$3-G6</f>
        <v>90.78</v>
      </c>
      <c r="I6" s="19" t="s">
        <v>4</v>
      </c>
      <c r="K6" s="4">
        <v>12</v>
      </c>
      <c r="L6" s="16">
        <v>6.29</v>
      </c>
      <c r="M6" s="16">
        <f>$C$3-L6</f>
        <v>97.509999999999991</v>
      </c>
      <c r="N6" s="19" t="s">
        <v>25</v>
      </c>
      <c r="P6" s="4">
        <f>P5+G9</f>
        <v>46</v>
      </c>
      <c r="Q6" s="16">
        <f>H5</f>
        <v>90.31</v>
      </c>
    </row>
    <row r="7" spans="1:17" x14ac:dyDescent="0.25">
      <c r="A7" s="2" t="s">
        <v>14</v>
      </c>
      <c r="B7" s="2">
        <v>11.87</v>
      </c>
      <c r="C7" s="2">
        <f t="shared" si="0"/>
        <v>91.929999999999993</v>
      </c>
      <c r="F7" s="3">
        <v>11</v>
      </c>
      <c r="G7" s="17">
        <v>10.55</v>
      </c>
      <c r="H7" s="17">
        <f>$C$3-G7</f>
        <v>93.25</v>
      </c>
      <c r="I7" s="18" t="s">
        <v>27</v>
      </c>
      <c r="K7" s="4">
        <v>14</v>
      </c>
      <c r="L7" s="16">
        <v>4.3</v>
      </c>
      <c r="M7" s="16">
        <f>$C$3-L7</f>
        <v>99.5</v>
      </c>
      <c r="N7" s="19" t="s">
        <v>7</v>
      </c>
      <c r="P7" s="3"/>
      <c r="Q7" s="17"/>
    </row>
    <row r="8" spans="1:17" x14ac:dyDescent="0.25">
      <c r="F8" s="4"/>
      <c r="G8" s="16"/>
      <c r="H8" s="16"/>
      <c r="I8" s="19"/>
      <c r="K8" s="3"/>
      <c r="L8" s="17"/>
      <c r="M8" s="17"/>
      <c r="N8" s="18"/>
    </row>
    <row r="9" spans="1:17" x14ac:dyDescent="0.25">
      <c r="A9" s="2" t="s">
        <v>1</v>
      </c>
      <c r="B9" s="2">
        <v>24</v>
      </c>
      <c r="F9" s="3" t="s">
        <v>37</v>
      </c>
      <c r="G9" s="17">
        <v>6</v>
      </c>
      <c r="H9" s="17"/>
      <c r="I9" s="18"/>
      <c r="K9" s="3" t="s">
        <v>38</v>
      </c>
      <c r="L9" s="17">
        <v>16</v>
      </c>
      <c r="M9" s="17"/>
      <c r="N9" s="18"/>
    </row>
    <row r="10" spans="1:17" x14ac:dyDescent="0.25">
      <c r="A10" s="2" t="s">
        <v>0</v>
      </c>
      <c r="B10" s="1">
        <f>(C5-C7)/B9</f>
        <v>9.2916666666666828E-2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9C0D-09E4-497C-9945-3DE41DB0E50F}">
  <dimension ref="A1:Q12"/>
  <sheetViews>
    <sheetView workbookViewId="0">
      <selection activeCell="F11" sqref="F11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140625" style="2" customWidth="1"/>
    <col min="4" max="4" width="10.85546875" style="2" customWidth="1"/>
    <col min="5" max="5" width="2" style="2" customWidth="1"/>
    <col min="6" max="6" width="21.7109375" style="2" bestFit="1" customWidth="1"/>
    <col min="7" max="7" width="11.7109375" style="2" customWidth="1"/>
    <col min="8" max="8" width="13.4257812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3.710937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425781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2.42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/>
    </row>
    <row r="3" spans="1:17" x14ac:dyDescent="0.25">
      <c r="A3" s="2" t="s">
        <v>18</v>
      </c>
      <c r="C3" s="2">
        <f>(C2+B2)</f>
        <v>102.42</v>
      </c>
      <c r="F3" s="4" t="s">
        <v>44</v>
      </c>
      <c r="G3" s="16"/>
      <c r="H3" s="16"/>
      <c r="I3" s="19"/>
      <c r="K3" s="4">
        <v>1</v>
      </c>
      <c r="L3" s="16">
        <v>7</v>
      </c>
      <c r="M3" s="16">
        <f>$C$3-L3</f>
        <v>95.42</v>
      </c>
      <c r="N3" s="19" t="s">
        <v>27</v>
      </c>
      <c r="P3" s="4">
        <v>0</v>
      </c>
      <c r="Q3" s="16">
        <f>M5</f>
        <v>91.61</v>
      </c>
    </row>
    <row r="4" spans="1:17" x14ac:dyDescent="0.25">
      <c r="A4" s="2" t="s">
        <v>17</v>
      </c>
      <c r="B4" s="2">
        <v>12.29</v>
      </c>
      <c r="C4" s="2">
        <f t="shared" ref="C4:C8" si="0">$C$3-B4</f>
        <v>90.13</v>
      </c>
      <c r="F4" s="4"/>
      <c r="G4" s="16"/>
      <c r="H4" s="16"/>
      <c r="I4" s="19"/>
      <c r="K4" s="4">
        <v>7</v>
      </c>
      <c r="L4" s="16">
        <v>9.9</v>
      </c>
      <c r="M4" s="16">
        <f>$C$3-L4</f>
        <v>92.52</v>
      </c>
      <c r="N4" s="19" t="s">
        <v>4</v>
      </c>
      <c r="P4" s="4">
        <f>L9</f>
        <v>40</v>
      </c>
      <c r="Q4" s="16">
        <f>C5</f>
        <v>85.13</v>
      </c>
    </row>
    <row r="5" spans="1:17" x14ac:dyDescent="0.25">
      <c r="A5" s="2" t="s">
        <v>16</v>
      </c>
      <c r="B5" s="2">
        <v>17.29</v>
      </c>
      <c r="C5" s="2">
        <f t="shared" si="0"/>
        <v>85.13</v>
      </c>
      <c r="F5" s="4"/>
      <c r="G5" s="16"/>
      <c r="H5" s="16"/>
      <c r="I5" s="19"/>
      <c r="K5" s="4">
        <v>11</v>
      </c>
      <c r="L5" s="16">
        <v>10.81</v>
      </c>
      <c r="M5" s="16">
        <f>$C$3-L5</f>
        <v>91.61</v>
      </c>
      <c r="N5" s="19" t="s">
        <v>5</v>
      </c>
      <c r="P5" s="4">
        <f>P4+B11</f>
        <v>123</v>
      </c>
      <c r="Q5" s="16">
        <f>C6</f>
        <v>79.52000000000001</v>
      </c>
    </row>
    <row r="6" spans="1:17" x14ac:dyDescent="0.25">
      <c r="A6" s="2" t="s">
        <v>15</v>
      </c>
      <c r="B6" s="2">
        <v>22.9</v>
      </c>
      <c r="C6" s="2">
        <f t="shared" si="0"/>
        <v>79.52000000000001</v>
      </c>
      <c r="F6" s="4"/>
      <c r="G6" s="16"/>
      <c r="H6" s="16"/>
      <c r="I6" s="19"/>
      <c r="K6" s="4">
        <v>16</v>
      </c>
      <c r="L6" s="16">
        <v>9.9499999999999993</v>
      </c>
      <c r="M6" s="16">
        <f>$C$3-L6</f>
        <v>92.47</v>
      </c>
      <c r="N6" s="19" t="s">
        <v>25</v>
      </c>
    </row>
    <row r="7" spans="1:17" x14ac:dyDescent="0.25">
      <c r="A7" s="2" t="s">
        <v>14</v>
      </c>
      <c r="B7" s="2">
        <v>27.9</v>
      </c>
      <c r="C7" s="2">
        <f>$C$3-B7</f>
        <v>74.52000000000001</v>
      </c>
      <c r="F7" s="3"/>
      <c r="G7" s="17"/>
      <c r="H7" s="16"/>
      <c r="I7" s="18"/>
      <c r="K7" s="3">
        <v>23</v>
      </c>
      <c r="L7" s="17">
        <v>6.5</v>
      </c>
      <c r="M7" s="17">
        <f>$C$3-L7</f>
        <v>95.92</v>
      </c>
      <c r="N7" s="18" t="s">
        <v>7</v>
      </c>
    </row>
    <row r="8" spans="1:17" x14ac:dyDescent="0.25">
      <c r="A8" s="2" t="s">
        <v>13</v>
      </c>
      <c r="B8" s="2">
        <v>32.5</v>
      </c>
      <c r="C8" s="2">
        <f t="shared" si="0"/>
        <v>69.92</v>
      </c>
      <c r="F8" s="3"/>
      <c r="G8" s="17"/>
      <c r="H8" s="16"/>
      <c r="I8" s="18"/>
      <c r="K8" s="3"/>
      <c r="L8" s="17"/>
      <c r="M8" s="17"/>
      <c r="N8" s="18"/>
    </row>
    <row r="9" spans="1:17" x14ac:dyDescent="0.25">
      <c r="F9" s="3"/>
      <c r="G9" s="17"/>
      <c r="H9" s="16"/>
      <c r="I9" s="18"/>
      <c r="K9" s="3" t="s">
        <v>38</v>
      </c>
      <c r="L9" s="17">
        <v>40</v>
      </c>
      <c r="M9" s="17"/>
      <c r="N9" s="18"/>
    </row>
    <row r="11" spans="1:17" x14ac:dyDescent="0.25">
      <c r="A11" s="2" t="s">
        <v>1</v>
      </c>
      <c r="B11" s="2">
        <v>83</v>
      </c>
    </row>
    <row r="12" spans="1:17" x14ac:dyDescent="0.25">
      <c r="A12" s="2" t="s">
        <v>0</v>
      </c>
      <c r="B12" s="1">
        <f>(C5-C7)/B11</f>
        <v>0.12783132530120464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8610-FAAF-4F5D-B0F0-A8D8D4B49A2B}">
  <dimension ref="A1:Q10"/>
  <sheetViews>
    <sheetView workbookViewId="0">
      <selection activeCell="P1" sqref="P1"/>
    </sheetView>
  </sheetViews>
  <sheetFormatPr defaultRowHeight="15" x14ac:dyDescent="0.25"/>
  <cols>
    <col min="1" max="1" width="27.5703125" style="2" customWidth="1"/>
    <col min="2" max="2" width="8.28515625" style="2" customWidth="1"/>
    <col min="3" max="3" width="14.85546875" style="2" customWidth="1"/>
    <col min="4" max="4" width="15.85546875" style="2" bestFit="1" customWidth="1"/>
    <col min="5" max="5" width="2" style="2" customWidth="1"/>
    <col min="6" max="6" width="21.7109375" style="2" bestFit="1" customWidth="1"/>
    <col min="7" max="7" width="11.7109375" style="2" customWidth="1"/>
    <col min="8" max="8" width="13.5703125" style="2" customWidth="1"/>
    <col min="9" max="9" width="11" style="2" customWidth="1"/>
    <col min="10" max="10" width="2.140625" style="2" customWidth="1"/>
    <col min="11" max="11" width="22.140625" style="2" bestFit="1" customWidth="1"/>
    <col min="12" max="12" width="12.5703125" style="2" customWidth="1"/>
    <col min="13" max="13" width="14.7109375" style="2" customWidth="1"/>
    <col min="14" max="14" width="11" style="2" customWidth="1"/>
    <col min="15" max="15" width="2.5703125" style="2" customWidth="1"/>
    <col min="16" max="16" width="11.85546875" style="2" bestFit="1" customWidth="1"/>
    <col min="17" max="17" width="14.5703125" style="2" customWidth="1"/>
    <col min="18" max="16384" width="9.140625" style="2"/>
  </cols>
  <sheetData>
    <row r="1" spans="1:17" s="14" customFormat="1" ht="30" x14ac:dyDescent="0.25">
      <c r="A1" s="13" t="s">
        <v>23</v>
      </c>
      <c r="B1" s="13" t="s">
        <v>22</v>
      </c>
      <c r="C1" s="13" t="s">
        <v>34</v>
      </c>
      <c r="D1" s="13" t="s">
        <v>20</v>
      </c>
      <c r="F1" s="10" t="s">
        <v>39</v>
      </c>
      <c r="G1" s="10" t="s">
        <v>22</v>
      </c>
      <c r="H1" s="13" t="s">
        <v>34</v>
      </c>
      <c r="I1" s="10" t="s">
        <v>20</v>
      </c>
      <c r="K1" s="10" t="s">
        <v>39</v>
      </c>
      <c r="L1" s="10" t="s">
        <v>22</v>
      </c>
      <c r="M1" s="13" t="s">
        <v>34</v>
      </c>
      <c r="N1" s="10" t="s">
        <v>20</v>
      </c>
      <c r="P1" s="10" t="s">
        <v>39</v>
      </c>
      <c r="Q1" s="13" t="s">
        <v>34</v>
      </c>
    </row>
    <row r="2" spans="1:17" x14ac:dyDescent="0.25">
      <c r="A2" s="2" t="s">
        <v>19</v>
      </c>
      <c r="B2" s="2">
        <v>3.8</v>
      </c>
      <c r="C2" s="2">
        <v>100</v>
      </c>
      <c r="F2" s="11" t="s">
        <v>11</v>
      </c>
      <c r="G2" s="12"/>
      <c r="H2" s="12"/>
      <c r="I2" s="15"/>
      <c r="K2" s="11" t="s">
        <v>8</v>
      </c>
      <c r="L2" s="12"/>
      <c r="M2" s="12"/>
      <c r="N2" s="15"/>
      <c r="P2" s="11" t="s">
        <v>2</v>
      </c>
      <c r="Q2" s="12">
        <f t="shared" ref="Q2:Q3" si="0">M4</f>
        <v>93.3</v>
      </c>
    </row>
    <row r="3" spans="1:17" x14ac:dyDescent="0.25">
      <c r="A3" s="2" t="s">
        <v>18</v>
      </c>
      <c r="C3" s="2">
        <f>(C2+B2)</f>
        <v>103.8</v>
      </c>
      <c r="F3" s="4">
        <v>2</v>
      </c>
      <c r="G3" s="16">
        <v>15.9</v>
      </c>
      <c r="H3" s="16">
        <f>$C$3-G3</f>
        <v>87.899999999999991</v>
      </c>
      <c r="I3" s="19" t="s">
        <v>27</v>
      </c>
      <c r="K3" s="4">
        <v>0</v>
      </c>
      <c r="L3" s="16">
        <v>8.89</v>
      </c>
      <c r="M3" s="16">
        <f>$C$3-L3</f>
        <v>94.91</v>
      </c>
      <c r="N3" s="19" t="s">
        <v>27</v>
      </c>
      <c r="P3" s="4">
        <v>0</v>
      </c>
      <c r="Q3" s="16">
        <f t="shared" si="0"/>
        <v>93.09</v>
      </c>
    </row>
    <row r="4" spans="1:17" x14ac:dyDescent="0.25">
      <c r="A4" s="2" t="s">
        <v>17</v>
      </c>
      <c r="B4" s="2">
        <v>7.1</v>
      </c>
      <c r="C4" s="2">
        <f t="shared" ref="C4:C7" si="1">$C$3-B4</f>
        <v>96.7</v>
      </c>
      <c r="F4" s="4">
        <v>6</v>
      </c>
      <c r="G4" s="16">
        <v>16.7</v>
      </c>
      <c r="H4" s="16">
        <f>$C$3-G4</f>
        <v>87.1</v>
      </c>
      <c r="I4" s="19"/>
      <c r="K4" s="4">
        <v>4</v>
      </c>
      <c r="L4" s="16">
        <v>10.5</v>
      </c>
      <c r="M4" s="16">
        <f>$C$3-L4</f>
        <v>93.3</v>
      </c>
      <c r="N4" s="19" t="s">
        <v>28</v>
      </c>
      <c r="P4" s="4">
        <f>P3+L9</f>
        <v>8</v>
      </c>
      <c r="Q4" s="16">
        <f>C5</f>
        <v>92.7</v>
      </c>
    </row>
    <row r="5" spans="1:17" x14ac:dyDescent="0.25">
      <c r="A5" s="2" t="s">
        <v>16</v>
      </c>
      <c r="B5" s="2">
        <v>11.1</v>
      </c>
      <c r="C5" s="2">
        <f t="shared" si="1"/>
        <v>92.7</v>
      </c>
      <c r="F5" s="4">
        <v>10</v>
      </c>
      <c r="G5" s="16">
        <v>16.7</v>
      </c>
      <c r="H5" s="16">
        <f>$C$3-G5</f>
        <v>87.1</v>
      </c>
      <c r="I5" s="19"/>
      <c r="K5" s="4">
        <v>7</v>
      </c>
      <c r="L5" s="16">
        <v>10.71</v>
      </c>
      <c r="M5" s="16">
        <f>$C$3-L5</f>
        <v>93.09</v>
      </c>
      <c r="N5" s="19" t="s">
        <v>5</v>
      </c>
      <c r="P5" s="4">
        <f>P4+B9</f>
        <v>42</v>
      </c>
      <c r="Q5" s="16">
        <f>C7</f>
        <v>89.62</v>
      </c>
    </row>
    <row r="6" spans="1:17" x14ac:dyDescent="0.25">
      <c r="A6" s="2" t="s">
        <v>15</v>
      </c>
      <c r="B6" s="2">
        <v>10.18</v>
      </c>
      <c r="C6" s="2">
        <f t="shared" si="1"/>
        <v>93.62</v>
      </c>
      <c r="F6" s="4">
        <v>18</v>
      </c>
      <c r="G6" s="16">
        <v>17.7</v>
      </c>
      <c r="H6" s="16">
        <f>$C$3-G6</f>
        <v>86.1</v>
      </c>
      <c r="I6" s="19"/>
      <c r="K6" s="4">
        <v>9</v>
      </c>
      <c r="L6" s="16">
        <v>10.199999999999999</v>
      </c>
      <c r="M6" s="16">
        <f>$C$3-L6</f>
        <v>93.6</v>
      </c>
      <c r="N6" s="19"/>
      <c r="P6" s="4">
        <f>P5+G9</f>
        <v>60</v>
      </c>
      <c r="Q6" s="16">
        <f>TailCrest183[[#This Row],[Elevation (ft, local datum)]]</f>
        <v>86.1</v>
      </c>
    </row>
    <row r="7" spans="1:17" x14ac:dyDescent="0.25">
      <c r="A7" s="2" t="s">
        <v>14</v>
      </c>
      <c r="B7" s="2">
        <v>14.18</v>
      </c>
      <c r="C7" s="2">
        <f t="shared" si="1"/>
        <v>89.62</v>
      </c>
      <c r="F7" s="3">
        <v>22</v>
      </c>
      <c r="G7" s="17">
        <v>16.399999999999999</v>
      </c>
      <c r="H7" s="17">
        <f>$C$3-G7</f>
        <v>87.4</v>
      </c>
      <c r="I7" s="18" t="s">
        <v>7</v>
      </c>
      <c r="K7" s="4">
        <v>15</v>
      </c>
      <c r="L7" s="16">
        <v>8.67</v>
      </c>
      <c r="M7" s="16">
        <f>$C$3-L7</f>
        <v>95.13</v>
      </c>
      <c r="N7" s="19" t="s">
        <v>7</v>
      </c>
      <c r="P7" s="3"/>
      <c r="Q7" s="17"/>
    </row>
    <row r="8" spans="1:17" x14ac:dyDescent="0.25">
      <c r="F8" s="4"/>
      <c r="G8" s="16"/>
      <c r="H8" s="16"/>
      <c r="I8" s="19"/>
      <c r="K8" s="3"/>
      <c r="L8" s="17"/>
      <c r="M8" s="17"/>
      <c r="N8" s="18"/>
    </row>
    <row r="9" spans="1:17" x14ac:dyDescent="0.25">
      <c r="A9" s="2" t="s">
        <v>1</v>
      </c>
      <c r="B9" s="2">
        <v>34</v>
      </c>
      <c r="F9" s="4" t="s">
        <v>37</v>
      </c>
      <c r="G9" s="17">
        <v>18</v>
      </c>
      <c r="H9" s="17"/>
      <c r="I9" s="18"/>
      <c r="K9" s="3" t="s">
        <v>38</v>
      </c>
      <c r="L9" s="17">
        <v>8</v>
      </c>
      <c r="M9" s="17"/>
      <c r="N9" s="18"/>
    </row>
    <row r="10" spans="1:17" x14ac:dyDescent="0.25">
      <c r="A10" s="2" t="s">
        <v>0</v>
      </c>
      <c r="B10" s="1">
        <f>(C5-C7)/B9</f>
        <v>9.0588235294117594E-2</v>
      </c>
      <c r="K10" s="3"/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G31-A</vt:lpstr>
      <vt:lpstr>G61-B</vt:lpstr>
      <vt:lpstr>G63-B</vt:lpstr>
      <vt:lpstr>G64-A</vt:lpstr>
      <vt:lpstr>G66-A</vt:lpstr>
      <vt:lpstr>G72-A</vt:lpstr>
      <vt:lpstr>G73-A</vt:lpstr>
      <vt:lpstr>G78-A</vt:lpstr>
      <vt:lpstr>G101-C</vt:lpstr>
      <vt:lpstr>G123-A</vt:lpstr>
      <vt:lpstr>G129-A</vt:lpstr>
      <vt:lpstr>G138-B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Croteau</dc:creator>
  <cp:lastModifiedBy>Elizabeth Lack</cp:lastModifiedBy>
  <dcterms:created xsi:type="dcterms:W3CDTF">2025-10-30T19:48:34Z</dcterms:created>
  <dcterms:modified xsi:type="dcterms:W3CDTF">2026-02-04T03:46:11Z</dcterms:modified>
</cp:coreProperties>
</file>